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E:\FORMULA RATES SPP\Annual Update AEP West Trans\True Ups\2025 Rate Year\As Filed\"/>
    </mc:Choice>
  </mc:AlternateContent>
  <xr:revisionPtr revIDLastSave="0" documentId="13_ncr:1_{B06A7CFB-8DEE-46B9-AE85-648AFC891DB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ctions" sheetId="33" r:id="rId1"/>
    <sheet name="Summary" sheetId="29" r:id="rId2"/>
    <sheet name="Pivot" sheetId="31" r:id="rId3"/>
    <sheet name="Transactions" sheetId="18" r:id="rId4"/>
  </sheets>
  <definedNames>
    <definedName name="_xlnm._FilterDatabase" localSheetId="3" hidden="1">Transactions!$A$15:$R$211</definedName>
    <definedName name="AS1_1999" localSheetId="3">Transactions!$C$19:$J$26</definedName>
    <definedName name="AS1_1999">#REF!</definedName>
    <definedName name="Avg_Annual_FERC_Rate">#REF!</definedName>
    <definedName name="etec">#REF!</definedName>
    <definedName name="fake">#REF!</definedName>
    <definedName name="greenbelt">#REF!</definedName>
    <definedName name="janetec">#REF!</definedName>
    <definedName name="lighthouse">#REF!</definedName>
    <definedName name="ntec">#REF!</definedName>
    <definedName name="ompa">#REF!</definedName>
    <definedName name="_xlnm.Print_Area" localSheetId="0">Instructions!$A$1:$R$18</definedName>
    <definedName name="_xlnm.Print_Area" localSheetId="1">Summary!$C$1:$I$40</definedName>
    <definedName name="_xlnm.Print_Area" localSheetId="3">Transactions!$A$1:$R$212</definedName>
    <definedName name="_xlnm.Print_Titles" localSheetId="2">Pivot!$3:$4</definedName>
    <definedName name="_xlnm.Print_Titles" localSheetId="3">Transactions!$B:$E,Transactions!$1:$19</definedName>
    <definedName name="ss1et">#REF!</definedName>
    <definedName name="ss1gb">#REF!</definedName>
    <definedName name="ss1lh">#REF!</definedName>
    <definedName name="ss1nt">#REF!</definedName>
    <definedName name="ss1op">#REF!</definedName>
    <definedName name="ss1tx">#REF!</definedName>
    <definedName name="ss1wf">#REF!</definedName>
    <definedName name="ss2et">#REF!</definedName>
    <definedName name="ss2etc">#REF!</definedName>
    <definedName name="ss2gb">#REF!</definedName>
    <definedName name="ss2gbt">#REF!</definedName>
    <definedName name="ss2lh">#REF!</definedName>
    <definedName name="ss2lhs">#REF!</definedName>
    <definedName name="ss2nt">#REF!</definedName>
    <definedName name="ss2ntc">#REF!</definedName>
    <definedName name="ss2op">#REF!</definedName>
    <definedName name="ss2opm">#REF!</definedName>
    <definedName name="ss2tx">#REF!</definedName>
    <definedName name="ss2txl">#REF!</definedName>
    <definedName name="ss2wf">#REF!</definedName>
    <definedName name="ss3et">#REF!</definedName>
    <definedName name="ss3gb">#REF!</definedName>
    <definedName name="ss3lh">#REF!</definedName>
    <definedName name="ss3nt">#REF!</definedName>
    <definedName name="ss3op">#REF!</definedName>
    <definedName name="ss3tx">#REF!</definedName>
    <definedName name="ss3wf">#REF!</definedName>
    <definedName name="ss5et">#REF!</definedName>
    <definedName name="ss5gb">#REF!</definedName>
    <definedName name="ss5lh">#REF!</definedName>
    <definedName name="ss5nt">#REF!</definedName>
    <definedName name="ss5op">#REF!</definedName>
    <definedName name="ss5tx">#REF!</definedName>
    <definedName name="ss5wf">#REF!</definedName>
    <definedName name="ss6et">#REF!</definedName>
    <definedName name="ss6gb">#REF!</definedName>
    <definedName name="ss6lh">#REF!</definedName>
    <definedName name="ss6nt">#REF!</definedName>
    <definedName name="ss6op">#REF!</definedName>
    <definedName name="ss6tx">#REF!</definedName>
    <definedName name="ss6wf">#REF!</definedName>
    <definedName name="tbl_QtrPrimRat">#REF!</definedName>
    <definedName name="texla">#REF!</definedName>
  </definedNames>
  <calcPr calcId="191029" iterate="1"/>
  <pivotCaches>
    <pivotCache cacheId="14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9" l="1"/>
  <c r="L3" i="18" l="1"/>
  <c r="K1" i="18" l="1"/>
  <c r="B79" i="18"/>
  <c r="B78" i="18"/>
  <c r="B77" i="18"/>
  <c r="B76" i="18"/>
  <c r="B75" i="18"/>
  <c r="B74" i="18"/>
  <c r="B73" i="18"/>
  <c r="B72" i="18"/>
  <c r="B71" i="18"/>
  <c r="B70" i="18"/>
  <c r="B69" i="18"/>
  <c r="B68" i="18"/>
  <c r="C1" i="29"/>
  <c r="B3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C42" i="18"/>
  <c r="C66" i="18" s="1"/>
  <c r="D38" i="18"/>
  <c r="D62" i="18" s="1"/>
  <c r="J19" i="18"/>
  <c r="D43" i="18"/>
  <c r="D67" i="18" s="1"/>
  <c r="D91" i="18" s="1"/>
  <c r="D103" i="18" s="1"/>
  <c r="D115" i="18" s="1"/>
  <c r="D127" i="18" s="1"/>
  <c r="D139" i="18" s="1"/>
  <c r="D151" i="18" s="1"/>
  <c r="D163" i="18" s="1"/>
  <c r="D175" i="18" s="1"/>
  <c r="B31" i="18"/>
  <c r="D42" i="18"/>
  <c r="D54" i="18" s="1"/>
  <c r="B30" i="18"/>
  <c r="D41" i="18"/>
  <c r="D65" i="18" s="1"/>
  <c r="B29" i="18"/>
  <c r="B28" i="18"/>
  <c r="C39" i="18"/>
  <c r="C51" i="18" s="1"/>
  <c r="D39" i="18"/>
  <c r="D51" i="18" s="1"/>
  <c r="B27" i="18"/>
  <c r="B26" i="18"/>
  <c r="B25" i="18"/>
  <c r="B24" i="18"/>
  <c r="B23" i="18"/>
  <c r="B22" i="18"/>
  <c r="B21" i="18"/>
  <c r="D32" i="18"/>
  <c r="D44" i="18" s="1"/>
  <c r="B16" i="18"/>
  <c r="J1" i="18"/>
  <c r="C43" i="18"/>
  <c r="C55" i="18" s="1"/>
  <c r="B175" i="18"/>
  <c r="B174" i="18"/>
  <c r="B173" i="18"/>
  <c r="B172" i="18"/>
  <c r="B171" i="18"/>
  <c r="C38" i="18"/>
  <c r="C50" i="18" s="1"/>
  <c r="B170" i="18"/>
  <c r="C37" i="18"/>
  <c r="C61" i="18" s="1"/>
  <c r="C85" i="18" s="1"/>
  <c r="C97" i="18" s="1"/>
  <c r="C109" i="18" s="1"/>
  <c r="C121" i="18" s="1"/>
  <c r="C133" i="18" s="1"/>
  <c r="C145" i="18" s="1"/>
  <c r="C157" i="18" s="1"/>
  <c r="C181" i="18" s="1"/>
  <c r="C193" i="18" s="1"/>
  <c r="C205" i="18" s="1"/>
  <c r="B169" i="18"/>
  <c r="B168" i="18"/>
  <c r="B167" i="18"/>
  <c r="B166" i="18"/>
  <c r="C33" i="18"/>
  <c r="C45" i="18" s="1"/>
  <c r="B165" i="18"/>
  <c r="C32" i="18"/>
  <c r="C44" i="18" s="1"/>
  <c r="B164" i="18"/>
  <c r="B211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20" i="18"/>
  <c r="C35" i="18"/>
  <c r="C34" i="18"/>
  <c r="C46" i="18" s="1"/>
  <c r="C41" i="18"/>
  <c r="C65" i="18" s="1"/>
  <c r="D36" i="18"/>
  <c r="D48" i="18" s="1"/>
  <c r="C36" i="18"/>
  <c r="C60" i="18" s="1"/>
  <c r="C84" i="18" s="1"/>
  <c r="C96" i="18" s="1"/>
  <c r="C108" i="18" s="1"/>
  <c r="C120" i="18" s="1"/>
  <c r="C132" i="18" s="1"/>
  <c r="C144" i="18" s="1"/>
  <c r="C156" i="18" s="1"/>
  <c r="C40" i="18"/>
  <c r="C52" i="18" s="1"/>
  <c r="D35" i="18"/>
  <c r="D59" i="18" s="1"/>
  <c r="D83" i="18" s="1"/>
  <c r="D95" i="18" s="1"/>
  <c r="D107" i="18" s="1"/>
  <c r="D119" i="18" s="1"/>
  <c r="D131" i="18" s="1"/>
  <c r="D143" i="18" s="1"/>
  <c r="D155" i="18" s="1"/>
  <c r="D37" i="18"/>
  <c r="D61" i="18" s="1"/>
  <c r="D40" i="18"/>
  <c r="D33" i="18"/>
  <c r="D45" i="18" s="1"/>
  <c r="D34" i="18"/>
  <c r="D58" i="18" s="1"/>
  <c r="C3" i="29"/>
  <c r="G21" i="29"/>
  <c r="H36" i="29"/>
  <c r="E32" i="29"/>
  <c r="E24" i="29"/>
  <c r="E37" i="29"/>
  <c r="H23" i="29"/>
  <c r="H26" i="29"/>
  <c r="G26" i="29"/>
  <c r="H21" i="29"/>
  <c r="E36" i="29"/>
  <c r="H28" i="29"/>
  <c r="H35" i="29"/>
  <c r="G31" i="29"/>
  <c r="E29" i="29"/>
  <c r="E30" i="29"/>
  <c r="G23" i="29"/>
  <c r="G29" i="29"/>
  <c r="H30" i="29"/>
  <c r="H29" i="29"/>
  <c r="G37" i="29"/>
  <c r="D30" i="29"/>
  <c r="H22" i="29"/>
  <c r="E21" i="29"/>
  <c r="E25" i="29"/>
  <c r="H32" i="29"/>
  <c r="E27" i="29"/>
  <c r="E31" i="29"/>
  <c r="E33" i="29"/>
  <c r="G30" i="29"/>
  <c r="G27" i="29"/>
  <c r="H33" i="29"/>
  <c r="H27" i="29"/>
  <c r="G36" i="29"/>
  <c r="G28" i="29"/>
  <c r="E28" i="29"/>
  <c r="E35" i="29"/>
  <c r="E26" i="29"/>
  <c r="H37" i="29"/>
  <c r="E23" i="29"/>
  <c r="G25" i="29"/>
  <c r="G24" i="29"/>
  <c r="G35" i="29"/>
  <c r="H25" i="29"/>
  <c r="G32" i="29"/>
  <c r="G33" i="29"/>
  <c r="E22" i="29"/>
  <c r="H24" i="29"/>
  <c r="H31" i="29"/>
  <c r="G22" i="29"/>
  <c r="C49" i="18" l="1"/>
  <c r="C54" i="18"/>
  <c r="D53" i="18"/>
  <c r="D79" i="18"/>
  <c r="C63" i="18"/>
  <c r="C87" i="18" s="1"/>
  <c r="C99" i="18" s="1"/>
  <c r="C111" i="18" s="1"/>
  <c r="C123" i="18" s="1"/>
  <c r="C135" i="18" s="1"/>
  <c r="C147" i="18" s="1"/>
  <c r="C159" i="18" s="1"/>
  <c r="C183" i="18" s="1"/>
  <c r="C195" i="18" s="1"/>
  <c r="C207" i="18" s="1"/>
  <c r="C57" i="18"/>
  <c r="C81" i="18" s="1"/>
  <c r="C93" i="18" s="1"/>
  <c r="C105" i="18" s="1"/>
  <c r="C117" i="18" s="1"/>
  <c r="C129" i="18" s="1"/>
  <c r="C141" i="18" s="1"/>
  <c r="C153" i="18" s="1"/>
  <c r="C165" i="18" s="1"/>
  <c r="D55" i="18"/>
  <c r="D66" i="18"/>
  <c r="D78" i="18" s="1"/>
  <c r="C64" i="18"/>
  <c r="C76" i="18" s="1"/>
  <c r="C56" i="18"/>
  <c r="C80" i="18" s="1"/>
  <c r="C92" i="18" s="1"/>
  <c r="C104" i="18" s="1"/>
  <c r="C116" i="18" s="1"/>
  <c r="C128" i="18" s="1"/>
  <c r="C140" i="18" s="1"/>
  <c r="C152" i="18" s="1"/>
  <c r="C176" i="18" s="1"/>
  <c r="C188" i="18" s="1"/>
  <c r="C200" i="18" s="1"/>
  <c r="D63" i="18"/>
  <c r="D87" i="18" s="1"/>
  <c r="D99" i="18" s="1"/>
  <c r="D111" i="18" s="1"/>
  <c r="D123" i="18" s="1"/>
  <c r="D135" i="18" s="1"/>
  <c r="D147" i="18" s="1"/>
  <c r="D159" i="18" s="1"/>
  <c r="D171" i="18" s="1"/>
  <c r="C53" i="18"/>
  <c r="D50" i="18"/>
  <c r="C73" i="18"/>
  <c r="F10" i="29"/>
  <c r="E20" i="29"/>
  <c r="D20" i="29"/>
  <c r="E10" i="29"/>
  <c r="C78" i="18"/>
  <c r="C90" i="18"/>
  <c r="C102" i="18" s="1"/>
  <c r="C114" i="18" s="1"/>
  <c r="C126" i="18" s="1"/>
  <c r="C138" i="18" s="1"/>
  <c r="C150" i="18" s="1"/>
  <c r="C162" i="18" s="1"/>
  <c r="C174" i="18" s="1"/>
  <c r="C72" i="18"/>
  <c r="D46" i="18"/>
  <c r="D57" i="18"/>
  <c r="D81" i="18" s="1"/>
  <c r="D93" i="18" s="1"/>
  <c r="D105" i="18" s="1"/>
  <c r="D117" i="18" s="1"/>
  <c r="D129" i="18" s="1"/>
  <c r="D141" i="18" s="1"/>
  <c r="D153" i="18" s="1"/>
  <c r="O13" i="18"/>
  <c r="C67" i="18"/>
  <c r="C91" i="18" s="1"/>
  <c r="C103" i="18" s="1"/>
  <c r="C115" i="18" s="1"/>
  <c r="C127" i="18" s="1"/>
  <c r="C139" i="18" s="1"/>
  <c r="C151" i="18" s="1"/>
  <c r="C163" i="18" s="1"/>
  <c r="D77" i="18"/>
  <c r="D89" i="18"/>
  <c r="D101" i="18" s="1"/>
  <c r="D113" i="18" s="1"/>
  <c r="D125" i="18" s="1"/>
  <c r="D137" i="18" s="1"/>
  <c r="D149" i="18" s="1"/>
  <c r="D161" i="18" s="1"/>
  <c r="D185" i="18" s="1"/>
  <c r="D197" i="18" s="1"/>
  <c r="D209" i="18" s="1"/>
  <c r="D74" i="18"/>
  <c r="D86" i="18"/>
  <c r="D98" i="18" s="1"/>
  <c r="D110" i="18" s="1"/>
  <c r="D122" i="18" s="1"/>
  <c r="D134" i="18" s="1"/>
  <c r="D146" i="18" s="1"/>
  <c r="D158" i="18" s="1"/>
  <c r="D170" i="18" s="1"/>
  <c r="C62" i="18"/>
  <c r="D49" i="18"/>
  <c r="D60" i="18"/>
  <c r="D72" i="18" s="1"/>
  <c r="C48" i="18"/>
  <c r="D71" i="18"/>
  <c r="C58" i="18"/>
  <c r="D56" i="18"/>
  <c r="D80" i="18" s="1"/>
  <c r="D92" i="18" s="1"/>
  <c r="D104" i="18" s="1"/>
  <c r="D116" i="18" s="1"/>
  <c r="D128" i="18" s="1"/>
  <c r="D140" i="18" s="1"/>
  <c r="D152" i="18" s="1"/>
  <c r="F30" i="29"/>
  <c r="I30" i="29" s="1"/>
  <c r="H34" i="29"/>
  <c r="G34" i="29"/>
  <c r="E34" i="29"/>
  <c r="H38" i="29"/>
  <c r="E38" i="29"/>
  <c r="G38" i="29"/>
  <c r="C180" i="18"/>
  <c r="C192" i="18" s="1"/>
  <c r="C204" i="18" s="1"/>
  <c r="C168" i="18"/>
  <c r="O14" i="18"/>
  <c r="D167" i="18"/>
  <c r="D179" i="18"/>
  <c r="D191" i="18" s="1"/>
  <c r="D203" i="18" s="1"/>
  <c r="D70" i="18"/>
  <c r="D82" i="18"/>
  <c r="D94" i="18" s="1"/>
  <c r="D106" i="18" s="1"/>
  <c r="D118" i="18" s="1"/>
  <c r="D130" i="18" s="1"/>
  <c r="D142" i="18" s="1"/>
  <c r="D154" i="18" s="1"/>
  <c r="C47" i="18"/>
  <c r="C59" i="18"/>
  <c r="C169" i="18"/>
  <c r="D187" i="18"/>
  <c r="D199" i="18" s="1"/>
  <c r="D211" i="18" s="1"/>
  <c r="D85" i="18"/>
  <c r="D97" i="18" s="1"/>
  <c r="D109" i="18" s="1"/>
  <c r="D121" i="18" s="1"/>
  <c r="D133" i="18" s="1"/>
  <c r="D145" i="18" s="1"/>
  <c r="D157" i="18" s="1"/>
  <c r="D73" i="18"/>
  <c r="D47" i="18"/>
  <c r="C89" i="18"/>
  <c r="C101" i="18" s="1"/>
  <c r="C113" i="18" s="1"/>
  <c r="C125" i="18" s="1"/>
  <c r="C137" i="18" s="1"/>
  <c r="C149" i="18" s="1"/>
  <c r="C161" i="18" s="1"/>
  <c r="C77" i="18"/>
  <c r="D64" i="18"/>
  <c r="D52" i="18"/>
  <c r="D35" i="29"/>
  <c r="D27" i="29"/>
  <c r="D32" i="29"/>
  <c r="D31" i="29"/>
  <c r="D29" i="29"/>
  <c r="D22" i="29"/>
  <c r="D37" i="29"/>
  <c r="D36" i="29"/>
  <c r="D33" i="29"/>
  <c r="D28" i="29"/>
  <c r="D24" i="29"/>
  <c r="D25" i="29"/>
  <c r="D26" i="29"/>
  <c r="D23" i="29"/>
  <c r="D21" i="29"/>
  <c r="F28" i="29" l="1"/>
  <c r="I28" i="29" s="1"/>
  <c r="C164" i="18"/>
  <c r="C79" i="18"/>
  <c r="D173" i="18"/>
  <c r="C68" i="18"/>
  <c r="C69" i="18"/>
  <c r="C171" i="18"/>
  <c r="F37" i="29"/>
  <c r="I37" i="29" s="1"/>
  <c r="F31" i="29"/>
  <c r="I31" i="29" s="1"/>
  <c r="F22" i="29"/>
  <c r="I22" i="29" s="1"/>
  <c r="F26" i="29"/>
  <c r="I26" i="29" s="1"/>
  <c r="F35" i="29"/>
  <c r="I35" i="29" s="1"/>
  <c r="D38" i="29"/>
  <c r="F24" i="29"/>
  <c r="I24" i="29" s="1"/>
  <c r="F21" i="29"/>
  <c r="I21" i="29" s="1"/>
  <c r="D34" i="29"/>
  <c r="F29" i="29"/>
  <c r="I29" i="29" s="1"/>
  <c r="F27" i="29"/>
  <c r="I27" i="29" s="1"/>
  <c r="F33" i="29"/>
  <c r="I33" i="29" s="1"/>
  <c r="F36" i="29"/>
  <c r="I36" i="29" s="1"/>
  <c r="F25" i="29"/>
  <c r="I25" i="29" s="1"/>
  <c r="F23" i="29"/>
  <c r="I23" i="29" s="1"/>
  <c r="F32" i="29"/>
  <c r="I32" i="29" s="1"/>
  <c r="C88" i="18"/>
  <c r="C100" i="18" s="1"/>
  <c r="C112" i="18" s="1"/>
  <c r="C124" i="18" s="1"/>
  <c r="C136" i="18" s="1"/>
  <c r="C148" i="18" s="1"/>
  <c r="C160" i="18" s="1"/>
  <c r="C172" i="18" s="1"/>
  <c r="C75" i="18"/>
  <c r="D69" i="18"/>
  <c r="D182" i="18"/>
  <c r="D194" i="18" s="1"/>
  <c r="D206" i="18" s="1"/>
  <c r="D90" i="18"/>
  <c r="D102" i="18" s="1"/>
  <c r="D114" i="18" s="1"/>
  <c r="D126" i="18" s="1"/>
  <c r="D138" i="18" s="1"/>
  <c r="D150" i="18" s="1"/>
  <c r="D162" i="18" s="1"/>
  <c r="D174" i="18" s="1"/>
  <c r="D183" i="18"/>
  <c r="D195" i="18" s="1"/>
  <c r="D207" i="18" s="1"/>
  <c r="C177" i="18"/>
  <c r="C189" i="18" s="1"/>
  <c r="C201" i="18" s="1"/>
  <c r="C186" i="18"/>
  <c r="C198" i="18" s="1"/>
  <c r="C210" i="18" s="1"/>
  <c r="D75" i="18"/>
  <c r="D84" i="18"/>
  <c r="D96" i="18" s="1"/>
  <c r="D108" i="18" s="1"/>
  <c r="D120" i="18" s="1"/>
  <c r="D132" i="18" s="1"/>
  <c r="D144" i="18" s="1"/>
  <c r="D156" i="18" s="1"/>
  <c r="D180" i="18" s="1"/>
  <c r="D192" i="18" s="1"/>
  <c r="D204" i="18" s="1"/>
  <c r="D68" i="18"/>
  <c r="G39" i="29"/>
  <c r="C86" i="18"/>
  <c r="C98" i="18" s="1"/>
  <c r="C110" i="18" s="1"/>
  <c r="C122" i="18" s="1"/>
  <c r="C134" i="18" s="1"/>
  <c r="C146" i="18" s="1"/>
  <c r="C158" i="18" s="1"/>
  <c r="C74" i="18"/>
  <c r="C82" i="18"/>
  <c r="C94" i="18" s="1"/>
  <c r="C106" i="18" s="1"/>
  <c r="C118" i="18" s="1"/>
  <c r="C130" i="18" s="1"/>
  <c r="C142" i="18" s="1"/>
  <c r="C154" i="18" s="1"/>
  <c r="C70" i="18"/>
  <c r="D177" i="18"/>
  <c r="D189" i="18" s="1"/>
  <c r="D201" i="18" s="1"/>
  <c r="D165" i="18"/>
  <c r="D164" i="18"/>
  <c r="D176" i="18"/>
  <c r="D188" i="18" s="1"/>
  <c r="D200" i="18" s="1"/>
  <c r="P13" i="18"/>
  <c r="C173" i="18"/>
  <c r="C185" i="18"/>
  <c r="C197" i="18" s="1"/>
  <c r="C209" i="18" s="1"/>
  <c r="P14" i="18"/>
  <c r="P212" i="18"/>
  <c r="D166" i="18"/>
  <c r="D178" i="18"/>
  <c r="D190" i="18" s="1"/>
  <c r="D202" i="18" s="1"/>
  <c r="E39" i="29"/>
  <c r="D88" i="18"/>
  <c r="D100" i="18" s="1"/>
  <c r="D112" i="18" s="1"/>
  <c r="D124" i="18" s="1"/>
  <c r="D136" i="18" s="1"/>
  <c r="D148" i="18" s="1"/>
  <c r="D160" i="18" s="1"/>
  <c r="D76" i="18"/>
  <c r="C175" i="18"/>
  <c r="C187" i="18"/>
  <c r="C199" i="18" s="1"/>
  <c r="C211" i="18" s="1"/>
  <c r="D181" i="18"/>
  <c r="D193" i="18" s="1"/>
  <c r="D205" i="18" s="1"/>
  <c r="D169" i="18"/>
  <c r="C83" i="18"/>
  <c r="C95" i="18" s="1"/>
  <c r="C107" i="18" s="1"/>
  <c r="C119" i="18" s="1"/>
  <c r="C131" i="18" s="1"/>
  <c r="C143" i="18" s="1"/>
  <c r="C155" i="18" s="1"/>
  <c r="C71" i="18"/>
  <c r="H39" i="29"/>
  <c r="D186" i="18" l="1"/>
  <c r="D198" i="18" s="1"/>
  <c r="D210" i="18" s="1"/>
  <c r="D39" i="29"/>
  <c r="C184" i="18"/>
  <c r="C196" i="18" s="1"/>
  <c r="C208" i="18" s="1"/>
  <c r="F38" i="29"/>
  <c r="F34" i="29"/>
  <c r="D168" i="18"/>
  <c r="Q13" i="18"/>
  <c r="Q14" i="18"/>
  <c r="C170" i="18"/>
  <c r="C182" i="18"/>
  <c r="C194" i="18" s="1"/>
  <c r="C206" i="18" s="1"/>
  <c r="C178" i="18"/>
  <c r="C190" i="18" s="1"/>
  <c r="C202" i="18" s="1"/>
  <c r="C166" i="18"/>
  <c r="I34" i="29"/>
  <c r="I38" i="29"/>
  <c r="C167" i="18"/>
  <c r="C179" i="18"/>
  <c r="C191" i="18" s="1"/>
  <c r="C203" i="18" s="1"/>
  <c r="D184" i="18"/>
  <c r="D196" i="18" s="1"/>
  <c r="D208" i="18" s="1"/>
  <c r="D172" i="18"/>
  <c r="F39" i="29" l="1"/>
  <c r="I39" i="29"/>
  <c r="G212" i="18" l="1"/>
  <c r="E11" i="29" l="1"/>
  <c r="H211" i="18" l="1"/>
  <c r="K211" i="18" s="1"/>
  <c r="H76" i="18"/>
  <c r="K76" i="18" s="1"/>
  <c r="H210" i="18"/>
  <c r="K210" i="18" s="1"/>
  <c r="H183" i="18"/>
  <c r="K183" i="18" s="1"/>
  <c r="H25" i="18"/>
  <c r="K25" i="18" s="1"/>
  <c r="H160" i="18"/>
  <c r="K160" i="18" s="1"/>
  <c r="H88" i="18"/>
  <c r="K88" i="18" s="1"/>
  <c r="H125" i="18"/>
  <c r="K125" i="18" s="1"/>
  <c r="H61" i="18"/>
  <c r="K61" i="18" s="1"/>
  <c r="H97" i="18"/>
  <c r="K97" i="18" s="1"/>
  <c r="H62" i="18"/>
  <c r="K62" i="18" s="1"/>
  <c r="H35" i="18"/>
  <c r="K35" i="18" s="1"/>
  <c r="H167" i="18"/>
  <c r="K167" i="18" s="1"/>
  <c r="H37" i="18"/>
  <c r="K37" i="18" s="1"/>
  <c r="H184" i="18"/>
  <c r="K184" i="18" s="1"/>
  <c r="H112" i="18"/>
  <c r="K112" i="18" s="1"/>
  <c r="H80" i="18"/>
  <c r="K80" i="18" s="1"/>
  <c r="H201" i="18"/>
  <c r="K201" i="18" s="1"/>
  <c r="H166" i="18"/>
  <c r="K166" i="18" s="1"/>
  <c r="H139" i="18"/>
  <c r="K139" i="18" s="1"/>
  <c r="H95" i="18"/>
  <c r="K95" i="18" s="1"/>
  <c r="H128" i="18"/>
  <c r="K128" i="18" s="1"/>
  <c r="H68" i="18"/>
  <c r="K68" i="18" s="1"/>
  <c r="H207" i="18"/>
  <c r="K207" i="18" s="1"/>
  <c r="E13" i="29"/>
  <c r="H21" i="18"/>
  <c r="K21" i="18" s="1"/>
  <c r="H156" i="18"/>
  <c r="K156" i="18" s="1"/>
  <c r="H84" i="18"/>
  <c r="K84" i="18" s="1"/>
  <c r="H157" i="18"/>
  <c r="K157" i="18" s="1"/>
  <c r="H57" i="18"/>
  <c r="K57" i="18" s="1"/>
  <c r="H22" i="18"/>
  <c r="K22" i="18" s="1"/>
  <c r="H148" i="18"/>
  <c r="K148" i="18" s="1"/>
  <c r="H168" i="18"/>
  <c r="K168" i="18" s="1"/>
  <c r="H93" i="18"/>
  <c r="K93" i="18" s="1"/>
  <c r="H129" i="18"/>
  <c r="K129" i="18" s="1"/>
  <c r="H94" i="18"/>
  <c r="K94" i="18" s="1"/>
  <c r="H67" i="18"/>
  <c r="K67" i="18" s="1"/>
  <c r="H203" i="18"/>
  <c r="K203" i="18" s="1"/>
  <c r="H69" i="18"/>
  <c r="K69" i="18" s="1"/>
  <c r="H34" i="18"/>
  <c r="K34" i="18" s="1"/>
  <c r="H172" i="18"/>
  <c r="K172" i="18" s="1"/>
  <c r="H83" i="18"/>
  <c r="K83" i="18" s="1"/>
  <c r="H60" i="18"/>
  <c r="K60" i="18" s="1"/>
  <c r="H198" i="18"/>
  <c r="K198" i="18" s="1"/>
  <c r="H171" i="18"/>
  <c r="K171" i="18" s="1"/>
  <c r="H45" i="18"/>
  <c r="K45" i="18" s="1"/>
  <c r="H196" i="18"/>
  <c r="K196" i="18" s="1"/>
  <c r="H132" i="18"/>
  <c r="K132" i="18" s="1"/>
  <c r="H49" i="18"/>
  <c r="K49" i="18" s="1"/>
  <c r="H55" i="18"/>
  <c r="K55" i="18" s="1"/>
  <c r="H118" i="18"/>
  <c r="K118" i="18" s="1"/>
  <c r="H52" i="18"/>
  <c r="K52" i="18" s="1"/>
  <c r="H163" i="18"/>
  <c r="K163" i="18" s="1"/>
  <c r="H130" i="18"/>
  <c r="K130" i="18" s="1"/>
  <c r="H38" i="18"/>
  <c r="K38" i="18" s="1"/>
  <c r="H106" i="18"/>
  <c r="K106" i="18" s="1"/>
  <c r="H39" i="18"/>
  <c r="K39" i="18" s="1"/>
  <c r="H102" i="18"/>
  <c r="K102" i="18" s="1"/>
  <c r="H170" i="18"/>
  <c r="K170" i="18" s="1"/>
  <c r="H151" i="18"/>
  <c r="K151" i="18" s="1"/>
  <c r="H65" i="18"/>
  <c r="K65" i="18" s="1"/>
  <c r="H179" i="18"/>
  <c r="K179" i="18" s="1"/>
  <c r="H134" i="18"/>
  <c r="K134" i="18" s="1"/>
  <c r="H175" i="18"/>
  <c r="K175" i="18" s="1"/>
  <c r="H53" i="18"/>
  <c r="K53" i="18" s="1"/>
  <c r="H208" i="18"/>
  <c r="K208" i="18" s="1"/>
  <c r="H144" i="18"/>
  <c r="K144" i="18" s="1"/>
  <c r="H96" i="18"/>
  <c r="K96" i="18" s="1"/>
  <c r="H89" i="18"/>
  <c r="K89" i="18" s="1"/>
  <c r="H54" i="18"/>
  <c r="K54" i="18" s="1"/>
  <c r="H27" i="18"/>
  <c r="K27" i="18" s="1"/>
  <c r="H90" i="18"/>
  <c r="K90" i="18" s="1"/>
  <c r="H189" i="18"/>
  <c r="K189" i="18" s="1"/>
  <c r="H161" i="18"/>
  <c r="K161" i="18" s="1"/>
  <c r="H126" i="18"/>
  <c r="K126" i="18" s="1"/>
  <c r="H99" i="18"/>
  <c r="K99" i="18" s="1"/>
  <c r="H81" i="18"/>
  <c r="K81" i="18" s="1"/>
  <c r="H101" i="18"/>
  <c r="K101" i="18" s="1"/>
  <c r="H66" i="18"/>
  <c r="K66" i="18" s="1"/>
  <c r="H71" i="18"/>
  <c r="K71" i="18" s="1"/>
  <c r="H127" i="18"/>
  <c r="K127" i="18" s="1"/>
  <c r="H124" i="18"/>
  <c r="K124" i="18" s="1"/>
  <c r="H48" i="18"/>
  <c r="K48" i="18" s="1"/>
  <c r="H145" i="18"/>
  <c r="K145" i="18" s="1"/>
  <c r="H77" i="18"/>
  <c r="K77" i="18" s="1"/>
  <c r="H42" i="18"/>
  <c r="K42" i="18" s="1"/>
  <c r="H188" i="18"/>
  <c r="K188" i="18" s="1"/>
  <c r="H209" i="18"/>
  <c r="K209" i="18" s="1"/>
  <c r="H122" i="18"/>
  <c r="K122" i="18" s="1"/>
  <c r="H153" i="18"/>
  <c r="K153" i="18" s="1"/>
  <c r="H24" i="18"/>
  <c r="K24" i="18" s="1"/>
  <c r="H190" i="18"/>
  <c r="K190" i="18" s="1"/>
  <c r="H165" i="18"/>
  <c r="K165" i="18" s="1"/>
  <c r="H73" i="18"/>
  <c r="K73" i="18" s="1"/>
  <c r="H141" i="18"/>
  <c r="K141" i="18" s="1"/>
  <c r="H79" i="18"/>
  <c r="K79" i="18" s="1"/>
  <c r="H104" i="18"/>
  <c r="K104" i="18" s="1"/>
  <c r="H194" i="18"/>
  <c r="K194" i="18" s="1"/>
  <c r="H140" i="18"/>
  <c r="K140" i="18" s="1"/>
  <c r="H147" i="18"/>
  <c r="K147" i="18" s="1"/>
  <c r="H28" i="18"/>
  <c r="K28" i="18" s="1"/>
  <c r="H29" i="18"/>
  <c r="K29" i="18" s="1"/>
  <c r="H116" i="18"/>
  <c r="K116" i="18" s="1"/>
  <c r="H107" i="18"/>
  <c r="K107" i="18" s="1"/>
  <c r="H191" i="18"/>
  <c r="K191" i="18" s="1"/>
  <c r="H85" i="18"/>
  <c r="K85" i="18" s="1"/>
  <c r="H50" i="18"/>
  <c r="K50" i="18" s="1"/>
  <c r="H23" i="18"/>
  <c r="K23" i="18" s="1"/>
  <c r="H58" i="18"/>
  <c r="K58" i="18" s="1"/>
  <c r="H121" i="18"/>
  <c r="K121" i="18" s="1"/>
  <c r="H86" i="18"/>
  <c r="K86" i="18" s="1"/>
  <c r="H59" i="18"/>
  <c r="K59" i="18" s="1"/>
  <c r="H154" i="18"/>
  <c r="K154" i="18" s="1"/>
  <c r="H44" i="18"/>
  <c r="K44" i="18" s="1"/>
  <c r="H193" i="18"/>
  <c r="K193" i="18" s="1"/>
  <c r="H158" i="18"/>
  <c r="K158" i="18" s="1"/>
  <c r="H131" i="18"/>
  <c r="K131" i="18" s="1"/>
  <c r="H177" i="18"/>
  <c r="K177" i="18" s="1"/>
  <c r="H133" i="18"/>
  <c r="K133" i="18" s="1"/>
  <c r="H98" i="18"/>
  <c r="K98" i="18" s="1"/>
  <c r="H135" i="18"/>
  <c r="K135" i="18" s="1"/>
  <c r="H41" i="18"/>
  <c r="K41" i="18" s="1"/>
  <c r="H192" i="18"/>
  <c r="K192" i="18" s="1"/>
  <c r="H120" i="18"/>
  <c r="K120" i="18" s="1"/>
  <c r="H72" i="18"/>
  <c r="K72" i="18" s="1"/>
  <c r="H109" i="18"/>
  <c r="K109" i="18" s="1"/>
  <c r="H74" i="18"/>
  <c r="K74" i="18" s="1"/>
  <c r="H47" i="18"/>
  <c r="K47" i="18" s="1"/>
  <c r="H46" i="18"/>
  <c r="K46" i="18" s="1"/>
  <c r="H82" i="18"/>
  <c r="K82" i="18" s="1"/>
  <c r="H26" i="18"/>
  <c r="K26" i="18" s="1"/>
  <c r="H200" i="18"/>
  <c r="K200" i="18" s="1"/>
  <c r="H199" i="18"/>
  <c r="K199" i="18" s="1"/>
  <c r="H78" i="18"/>
  <c r="K78" i="18" s="1"/>
  <c r="H206" i="18"/>
  <c r="K206" i="18" s="1"/>
  <c r="H204" i="18"/>
  <c r="K204" i="18" s="1"/>
  <c r="H137" i="18"/>
  <c r="K137" i="18" s="1"/>
  <c r="H205" i="18"/>
  <c r="K205" i="18" s="1"/>
  <c r="H159" i="18"/>
  <c r="K159" i="18" s="1"/>
  <c r="H187" i="18"/>
  <c r="K187" i="18" s="1"/>
  <c r="H164" i="18"/>
  <c r="K164" i="18" s="1"/>
  <c r="H169" i="18"/>
  <c r="K169" i="18" s="1"/>
  <c r="H202" i="18"/>
  <c r="K202" i="18" s="1"/>
  <c r="H117" i="18"/>
  <c r="K117" i="18" s="1"/>
  <c r="H91" i="18"/>
  <c r="K91" i="18" s="1"/>
  <c r="H176" i="18"/>
  <c r="K176" i="18" s="1"/>
  <c r="H92" i="18"/>
  <c r="K92" i="18" s="1"/>
  <c r="H30" i="18"/>
  <c r="K30" i="18" s="1"/>
  <c r="H40" i="18"/>
  <c r="K40" i="18" s="1"/>
  <c r="H115" i="18"/>
  <c r="K115" i="18" s="1"/>
  <c r="H149" i="18"/>
  <c r="K149" i="18" s="1"/>
  <c r="H114" i="18"/>
  <c r="K114" i="18" s="1"/>
  <c r="H87" i="18"/>
  <c r="K87" i="18" s="1"/>
  <c r="H100" i="18"/>
  <c r="K100" i="18" s="1"/>
  <c r="H185" i="18"/>
  <c r="K185" i="18" s="1"/>
  <c r="H150" i="18"/>
  <c r="K150" i="18" s="1"/>
  <c r="H123" i="18"/>
  <c r="K123" i="18" s="1"/>
  <c r="H152" i="18"/>
  <c r="K152" i="18" s="1"/>
  <c r="H186" i="18"/>
  <c r="K186" i="18" s="1"/>
  <c r="H108" i="18"/>
  <c r="K108" i="18" s="1"/>
  <c r="H32" i="18"/>
  <c r="K32" i="18" s="1"/>
  <c r="H195" i="18"/>
  <c r="K195" i="18" s="1"/>
  <c r="H142" i="18"/>
  <c r="K142" i="18" s="1"/>
  <c r="H197" i="18"/>
  <c r="K197" i="18" s="1"/>
  <c r="H162" i="18"/>
  <c r="K162" i="18" s="1"/>
  <c r="H113" i="18"/>
  <c r="K113" i="18" s="1"/>
  <c r="H105" i="18"/>
  <c r="K105" i="18" s="1"/>
  <c r="H70" i="18"/>
  <c r="K70" i="18" s="1"/>
  <c r="H43" i="18"/>
  <c r="K43" i="18" s="1"/>
  <c r="H174" i="18"/>
  <c r="K174" i="18" s="1"/>
  <c r="H173" i="18"/>
  <c r="K173" i="18" s="1"/>
  <c r="H138" i="18"/>
  <c r="K138" i="18" s="1"/>
  <c r="H111" i="18"/>
  <c r="K111" i="18" s="1"/>
  <c r="H51" i="18"/>
  <c r="K51" i="18" s="1"/>
  <c r="H181" i="18"/>
  <c r="K181" i="18" s="1"/>
  <c r="H146" i="18"/>
  <c r="K146" i="18" s="1"/>
  <c r="H119" i="18"/>
  <c r="K119" i="18" s="1"/>
  <c r="H31" i="18"/>
  <c r="K31" i="18" s="1"/>
  <c r="H36" i="18"/>
  <c r="K36" i="18" s="1"/>
  <c r="H182" i="18"/>
  <c r="K182" i="18" s="1"/>
  <c r="H155" i="18"/>
  <c r="K155" i="18" s="1"/>
  <c r="H63" i="18"/>
  <c r="K63" i="18" s="1"/>
  <c r="H33" i="18"/>
  <c r="K33" i="18" s="1"/>
  <c r="H180" i="18"/>
  <c r="K180" i="18" s="1"/>
  <c r="H56" i="18"/>
  <c r="K56" i="18" s="1"/>
  <c r="H136" i="18"/>
  <c r="K136" i="18" s="1"/>
  <c r="H75" i="18"/>
  <c r="K75" i="18" s="1"/>
  <c r="H143" i="18"/>
  <c r="K143" i="18" s="1"/>
  <c r="H178" i="18"/>
  <c r="K178" i="18" s="1"/>
  <c r="H20" i="18"/>
  <c r="K20" i="18" s="1"/>
  <c r="H103" i="18"/>
  <c r="K103" i="18" s="1"/>
  <c r="H110" i="18"/>
  <c r="K110" i="18" s="1"/>
  <c r="H64" i="18"/>
  <c r="K64" i="18" s="1"/>
  <c r="K14" i="18" l="1"/>
  <c r="K212" i="18"/>
  <c r="K13" i="18"/>
  <c r="F12" i="29" l="1"/>
  <c r="M150" i="18" l="1"/>
  <c r="M97" i="18"/>
  <c r="M207" i="18"/>
  <c r="M156" i="18"/>
  <c r="M71" i="18"/>
  <c r="M149" i="18"/>
  <c r="M78" i="18"/>
  <c r="M36" i="18"/>
  <c r="M193" i="18"/>
  <c r="M178" i="18"/>
  <c r="M93" i="18"/>
  <c r="M186" i="18"/>
  <c r="M40" i="18"/>
  <c r="M47" i="18"/>
  <c r="M159" i="18"/>
  <c r="M89" i="18"/>
  <c r="M184" i="18"/>
  <c r="M77" i="18"/>
  <c r="M151" i="18"/>
  <c r="M57" i="18"/>
  <c r="M203" i="18"/>
  <c r="M25" i="18"/>
  <c r="M68" i="18"/>
  <c r="M137" i="18"/>
  <c r="M201" i="18"/>
  <c r="M32" i="18"/>
  <c r="M121" i="18"/>
  <c r="M132" i="18"/>
  <c r="M199" i="18"/>
  <c r="M176" i="18"/>
  <c r="M21" i="18"/>
  <c r="M51" i="18"/>
  <c r="M103" i="18"/>
  <c r="M111" i="18"/>
  <c r="M140" i="18"/>
  <c r="M53" i="18"/>
  <c r="M49" i="18"/>
  <c r="M164" i="18"/>
  <c r="M119" i="18"/>
  <c r="M115" i="18"/>
  <c r="M196" i="18"/>
  <c r="M209" i="18"/>
  <c r="M154" i="18"/>
  <c r="M73" i="18"/>
  <c r="M87" i="18"/>
  <c r="M125" i="18"/>
  <c r="M58" i="18"/>
  <c r="M177" i="18"/>
  <c r="M72" i="18"/>
  <c r="M128" i="18"/>
  <c r="M38" i="18"/>
  <c r="M79" i="18"/>
  <c r="M29" i="18"/>
  <c r="M83" i="18"/>
  <c r="M110" i="18"/>
  <c r="M182" i="18"/>
  <c r="M135" i="18"/>
  <c r="M104" i="18"/>
  <c r="M45" i="18"/>
  <c r="M197" i="18"/>
  <c r="M183" i="18"/>
  <c r="M143" i="18"/>
  <c r="M145" i="18"/>
  <c r="M114" i="18"/>
  <c r="M174" i="18"/>
  <c r="M41" i="18"/>
  <c r="M84" i="18"/>
  <c r="M99" i="18"/>
  <c r="M144" i="18"/>
  <c r="M187" i="18"/>
  <c r="M131" i="18"/>
  <c r="M180" i="18"/>
  <c r="M142" i="18"/>
  <c r="M120" i="18"/>
  <c r="M46" i="18"/>
  <c r="M129" i="18"/>
  <c r="M205" i="18"/>
  <c r="M37" i="18"/>
  <c r="M20" i="18"/>
  <c r="M117" i="18"/>
  <c r="M88" i="18"/>
  <c r="M211" i="18"/>
  <c r="M158" i="18"/>
  <c r="M192" i="18"/>
  <c r="M86" i="18"/>
  <c r="M92" i="18"/>
  <c r="M191" i="18"/>
  <c r="M63" i="18"/>
  <c r="M130" i="18"/>
  <c r="M52" i="18"/>
  <c r="M113" i="18"/>
  <c r="M66" i="18"/>
  <c r="M167" i="18"/>
  <c r="M161" i="18"/>
  <c r="M134" i="18"/>
  <c r="M194" i="18"/>
  <c r="M85" i="18"/>
  <c r="M139" i="18"/>
  <c r="M94" i="18"/>
  <c r="M23" i="18"/>
  <c r="M190" i="18"/>
  <c r="M109" i="18"/>
  <c r="M76" i="18"/>
  <c r="M95" i="18"/>
  <c r="M35" i="18"/>
  <c r="M163" i="18"/>
  <c r="M24" i="18"/>
  <c r="M50" i="18"/>
  <c r="M90" i="18"/>
  <c r="M118" i="18"/>
  <c r="M44" i="18"/>
  <c r="M34" i="18"/>
  <c r="M106" i="18"/>
  <c r="M152" i="18"/>
  <c r="M39" i="18"/>
  <c r="M27" i="18"/>
  <c r="M179" i="18"/>
  <c r="M170" i="18"/>
  <c r="M56" i="18"/>
  <c r="M81" i="18"/>
  <c r="M148" i="18"/>
  <c r="M122" i="18"/>
  <c r="M210" i="18"/>
  <c r="M96" i="18"/>
  <c r="M169" i="18"/>
  <c r="M82" i="18"/>
  <c r="M185" i="18"/>
  <c r="M146" i="18"/>
  <c r="M100" i="18"/>
  <c r="M173" i="18"/>
  <c r="M28" i="18"/>
  <c r="M208" i="18"/>
  <c r="M153" i="18"/>
  <c r="M126" i="18"/>
  <c r="M26" i="18"/>
  <c r="M198" i="18"/>
  <c r="M55" i="18"/>
  <c r="M101" i="18"/>
  <c r="M204" i="18"/>
  <c r="M74" i="18"/>
  <c r="M157" i="18"/>
  <c r="M171" i="18"/>
  <c r="M141" i="18"/>
  <c r="M138" i="18"/>
  <c r="M108" i="18"/>
  <c r="M31" i="18"/>
  <c r="M206" i="18"/>
  <c r="M147" i="18"/>
  <c r="M59" i="18"/>
  <c r="M62" i="18"/>
  <c r="M61" i="18"/>
  <c r="M189" i="18"/>
  <c r="M102" i="18"/>
  <c r="M202" i="18"/>
  <c r="M123" i="18"/>
  <c r="M107" i="18"/>
  <c r="M105" i="18"/>
  <c r="M160" i="18"/>
  <c r="M75" i="18"/>
  <c r="M54" i="18"/>
  <c r="M42" i="18"/>
  <c r="M112" i="18"/>
  <c r="M67" i="18"/>
  <c r="M98" i="18"/>
  <c r="M65" i="18"/>
  <c r="M175" i="18"/>
  <c r="M70" i="18"/>
  <c r="M48" i="18"/>
  <c r="M124" i="18"/>
  <c r="M43" i="18"/>
  <c r="M116" i="18"/>
  <c r="M165" i="18"/>
  <c r="M181" i="18"/>
  <c r="M69" i="18"/>
  <c r="M33" i="18"/>
  <c r="M127" i="18"/>
  <c r="M162" i="18"/>
  <c r="M136" i="18"/>
  <c r="M64" i="18"/>
  <c r="M60" i="18"/>
  <c r="M22" i="18"/>
  <c r="M188" i="18"/>
  <c r="M133" i="18"/>
  <c r="M91" i="18"/>
  <c r="M172" i="18"/>
  <c r="M200" i="18"/>
  <c r="M80" i="18"/>
  <c r="M195" i="18"/>
  <c r="M155" i="18"/>
  <c r="M168" i="18"/>
  <c r="M166" i="18"/>
  <c r="M30" i="18"/>
  <c r="M212" i="18" l="1"/>
  <c r="M13" i="18"/>
  <c r="I137" i="18" l="1"/>
  <c r="J137" i="18" s="1"/>
  <c r="L137" i="18" s="1"/>
  <c r="N137" i="18" s="1"/>
  <c r="R137" i="18" s="1"/>
  <c r="I208" i="18"/>
  <c r="J208" i="18" s="1"/>
  <c r="L208" i="18" s="1"/>
  <c r="N208" i="18" s="1"/>
  <c r="R208" i="18" s="1"/>
  <c r="I204" i="18"/>
  <c r="J204" i="18" s="1"/>
  <c r="L204" i="18" s="1"/>
  <c r="N204" i="18" s="1"/>
  <c r="R204" i="18" s="1"/>
  <c r="I74" i="18"/>
  <c r="J74" i="18" s="1"/>
  <c r="L74" i="18" s="1"/>
  <c r="N74" i="18" s="1"/>
  <c r="R74" i="18" s="1"/>
  <c r="I156" i="18"/>
  <c r="J156" i="18" s="1"/>
  <c r="L156" i="18" s="1"/>
  <c r="N156" i="18" s="1"/>
  <c r="R156" i="18" s="1"/>
  <c r="I124" i="18"/>
  <c r="J124" i="18" s="1"/>
  <c r="L124" i="18" s="1"/>
  <c r="N124" i="18" s="1"/>
  <c r="R124" i="18" s="1"/>
  <c r="I183" i="18"/>
  <c r="J183" i="18" s="1"/>
  <c r="L183" i="18" s="1"/>
  <c r="N183" i="18" s="1"/>
  <c r="R183" i="18" s="1"/>
  <c r="I86" i="18"/>
  <c r="J86" i="18" s="1"/>
  <c r="L86" i="18" s="1"/>
  <c r="N86" i="18" s="1"/>
  <c r="R86" i="18" s="1"/>
  <c r="I31" i="18"/>
  <c r="J31" i="18" s="1"/>
  <c r="L31" i="18" s="1"/>
  <c r="N31" i="18" s="1"/>
  <c r="R31" i="18" s="1"/>
  <c r="I28" i="18"/>
  <c r="J28" i="18" s="1"/>
  <c r="L28" i="18" s="1"/>
  <c r="N28" i="18" s="1"/>
  <c r="R28" i="18" s="1"/>
  <c r="I190" i="18"/>
  <c r="J190" i="18" s="1"/>
  <c r="L190" i="18" s="1"/>
  <c r="N190" i="18" s="1"/>
  <c r="R190" i="18" s="1"/>
  <c r="I177" i="18"/>
  <c r="J177" i="18" s="1"/>
  <c r="L177" i="18" s="1"/>
  <c r="N177" i="18" s="1"/>
  <c r="R177" i="18" s="1"/>
  <c r="I172" i="18"/>
  <c r="J172" i="18" s="1"/>
  <c r="L172" i="18" s="1"/>
  <c r="N172" i="18" s="1"/>
  <c r="R172" i="18" s="1"/>
  <c r="I97" i="18"/>
  <c r="J97" i="18" s="1"/>
  <c r="L97" i="18" s="1"/>
  <c r="N97" i="18" s="1"/>
  <c r="R97" i="18" s="1"/>
  <c r="I186" i="18"/>
  <c r="J186" i="18" s="1"/>
  <c r="L186" i="18" s="1"/>
  <c r="N186" i="18" s="1"/>
  <c r="R186" i="18" s="1"/>
  <c r="I67" i="18"/>
  <c r="J67" i="18" s="1"/>
  <c r="L67" i="18" s="1"/>
  <c r="N67" i="18" s="1"/>
  <c r="R67" i="18" s="1"/>
  <c r="I108" i="18"/>
  <c r="J108" i="18" s="1"/>
  <c r="L108" i="18" s="1"/>
  <c r="N108" i="18" s="1"/>
  <c r="R108" i="18" s="1"/>
  <c r="I110" i="18"/>
  <c r="J110" i="18" s="1"/>
  <c r="L110" i="18" s="1"/>
  <c r="N110" i="18" s="1"/>
  <c r="R110" i="18" s="1"/>
  <c r="I184" i="18"/>
  <c r="J184" i="18" s="1"/>
  <c r="L184" i="18" s="1"/>
  <c r="N184" i="18" s="1"/>
  <c r="R184" i="18" s="1"/>
  <c r="I197" i="18"/>
  <c r="J197" i="18" s="1"/>
  <c r="L197" i="18" s="1"/>
  <c r="N197" i="18" s="1"/>
  <c r="R197" i="18" s="1"/>
  <c r="I112" i="18"/>
  <c r="J112" i="18" s="1"/>
  <c r="L112" i="18" s="1"/>
  <c r="N112" i="18" s="1"/>
  <c r="R112" i="18" s="1"/>
  <c r="I128" i="18"/>
  <c r="J128" i="18" s="1"/>
  <c r="L128" i="18" s="1"/>
  <c r="N128" i="18" s="1"/>
  <c r="R128" i="18" s="1"/>
  <c r="I76" i="18"/>
  <c r="J76" i="18" s="1"/>
  <c r="L76" i="18" s="1"/>
  <c r="N76" i="18" s="1"/>
  <c r="R76" i="18" s="1"/>
  <c r="I41" i="18"/>
  <c r="J41" i="18" s="1"/>
  <c r="L41" i="18" s="1"/>
  <c r="N41" i="18" s="1"/>
  <c r="R41" i="18" s="1"/>
  <c r="I202" i="18"/>
  <c r="J202" i="18" s="1"/>
  <c r="L202" i="18" s="1"/>
  <c r="N202" i="18" s="1"/>
  <c r="R202" i="18" s="1"/>
  <c r="I199" i="18"/>
  <c r="J199" i="18" s="1"/>
  <c r="L199" i="18" s="1"/>
  <c r="N199" i="18" s="1"/>
  <c r="R199" i="18" s="1"/>
  <c r="I53" i="18"/>
  <c r="J53" i="18" s="1"/>
  <c r="L53" i="18" s="1"/>
  <c r="N53" i="18" s="1"/>
  <c r="R53" i="18" s="1"/>
  <c r="I119" i="18"/>
  <c r="J119" i="18" s="1"/>
  <c r="L119" i="18" s="1"/>
  <c r="N119" i="18" s="1"/>
  <c r="R119" i="18" s="1"/>
  <c r="I203" i="18"/>
  <c r="J203" i="18" s="1"/>
  <c r="L203" i="18" s="1"/>
  <c r="N203" i="18" s="1"/>
  <c r="R203" i="18" s="1"/>
  <c r="I188" i="18"/>
  <c r="J188" i="18" s="1"/>
  <c r="L188" i="18" s="1"/>
  <c r="N188" i="18" s="1"/>
  <c r="R188" i="18" s="1"/>
  <c r="I113" i="18"/>
  <c r="J113" i="18" s="1"/>
  <c r="L113" i="18" s="1"/>
  <c r="N113" i="18" s="1"/>
  <c r="R113" i="18" s="1"/>
  <c r="I33" i="18"/>
  <c r="J33" i="18" s="1"/>
  <c r="L33" i="18" s="1"/>
  <c r="N33" i="18" s="1"/>
  <c r="R33" i="18" s="1"/>
  <c r="I27" i="18"/>
  <c r="J27" i="18" s="1"/>
  <c r="L27" i="18" s="1"/>
  <c r="N27" i="18" s="1"/>
  <c r="R27" i="18" s="1"/>
  <c r="I168" i="18"/>
  <c r="J168" i="18" s="1"/>
  <c r="L168" i="18" s="1"/>
  <c r="N168" i="18" s="1"/>
  <c r="R168" i="18" s="1"/>
  <c r="I51" i="18"/>
  <c r="J51" i="18" s="1"/>
  <c r="L51" i="18" s="1"/>
  <c r="N51" i="18" s="1"/>
  <c r="R51" i="18" s="1"/>
  <c r="I152" i="18"/>
  <c r="J152" i="18" s="1"/>
  <c r="L152" i="18" s="1"/>
  <c r="N152" i="18" s="1"/>
  <c r="R152" i="18" s="1"/>
  <c r="I123" i="18"/>
  <c r="J123" i="18" s="1"/>
  <c r="L123" i="18" s="1"/>
  <c r="N123" i="18" s="1"/>
  <c r="R123" i="18" s="1"/>
  <c r="I176" i="18"/>
  <c r="J176" i="18" s="1"/>
  <c r="L176" i="18" s="1"/>
  <c r="N176" i="18" s="1"/>
  <c r="R176" i="18" s="1"/>
  <c r="I134" i="18"/>
  <c r="J134" i="18" s="1"/>
  <c r="L134" i="18" s="1"/>
  <c r="N134" i="18" s="1"/>
  <c r="R134" i="18" s="1"/>
  <c r="I37" i="18"/>
  <c r="J37" i="18" s="1"/>
  <c r="L37" i="18" s="1"/>
  <c r="N37" i="18" s="1"/>
  <c r="R37" i="18" s="1"/>
  <c r="I149" i="18"/>
  <c r="J149" i="18" s="1"/>
  <c r="L149" i="18" s="1"/>
  <c r="N149" i="18" s="1"/>
  <c r="R149" i="18" s="1"/>
  <c r="I57" i="18"/>
  <c r="J57" i="18" s="1"/>
  <c r="L57" i="18" s="1"/>
  <c r="N57" i="18" s="1"/>
  <c r="R57" i="18" s="1"/>
  <c r="I89" i="18"/>
  <c r="J89" i="18" s="1"/>
  <c r="L89" i="18" s="1"/>
  <c r="N89" i="18" s="1"/>
  <c r="R89" i="18" s="1"/>
  <c r="I47" i="18"/>
  <c r="J47" i="18" s="1"/>
  <c r="L47" i="18" s="1"/>
  <c r="N47" i="18" s="1"/>
  <c r="R47" i="18" s="1"/>
  <c r="I50" i="18"/>
  <c r="J50" i="18" s="1"/>
  <c r="L50" i="18" s="1"/>
  <c r="N50" i="18" s="1"/>
  <c r="R50" i="18" s="1"/>
  <c r="I116" i="18"/>
  <c r="J116" i="18" s="1"/>
  <c r="L116" i="18" s="1"/>
  <c r="N116" i="18" s="1"/>
  <c r="R116" i="18" s="1"/>
  <c r="I115" i="18"/>
  <c r="J115" i="18" s="1"/>
  <c r="L115" i="18" s="1"/>
  <c r="N115" i="18" s="1"/>
  <c r="R115" i="18" s="1"/>
  <c r="I77" i="18"/>
  <c r="J77" i="18" s="1"/>
  <c r="L77" i="18" s="1"/>
  <c r="N77" i="18" s="1"/>
  <c r="R77" i="18" s="1"/>
  <c r="I36" i="18"/>
  <c r="J36" i="18" s="1"/>
  <c r="L36" i="18" s="1"/>
  <c r="N36" i="18" s="1"/>
  <c r="R36" i="18" s="1"/>
  <c r="I111" i="18"/>
  <c r="J111" i="18" s="1"/>
  <c r="L111" i="18" s="1"/>
  <c r="N111" i="18" s="1"/>
  <c r="R111" i="18" s="1"/>
  <c r="I40" i="18"/>
  <c r="J40" i="18" s="1"/>
  <c r="L40" i="18" s="1"/>
  <c r="N40" i="18" s="1"/>
  <c r="R40" i="18" s="1"/>
  <c r="I79" i="18"/>
  <c r="J79" i="18" s="1"/>
  <c r="L79" i="18" s="1"/>
  <c r="N79" i="18" s="1"/>
  <c r="R79" i="18" s="1"/>
  <c r="I29" i="18"/>
  <c r="J29" i="18" s="1"/>
  <c r="L29" i="18" s="1"/>
  <c r="N29" i="18" s="1"/>
  <c r="R29" i="18" s="1"/>
  <c r="I166" i="18"/>
  <c r="J166" i="18" s="1"/>
  <c r="L166" i="18" s="1"/>
  <c r="N166" i="18" s="1"/>
  <c r="R166" i="18" s="1"/>
  <c r="I138" i="18"/>
  <c r="J138" i="18" s="1"/>
  <c r="L138" i="18" s="1"/>
  <c r="N138" i="18" s="1"/>
  <c r="R138" i="18" s="1"/>
  <c r="I101" i="18"/>
  <c r="J101" i="18" s="1"/>
  <c r="L101" i="18" s="1"/>
  <c r="N101" i="18" s="1"/>
  <c r="R101" i="18" s="1"/>
  <c r="I209" i="18"/>
  <c r="J209" i="18" s="1"/>
  <c r="L209" i="18" s="1"/>
  <c r="N209" i="18" s="1"/>
  <c r="R209" i="18" s="1"/>
  <c r="I25" i="18"/>
  <c r="J25" i="18" s="1"/>
  <c r="L25" i="18" s="1"/>
  <c r="N25" i="18" s="1"/>
  <c r="R25" i="18" s="1"/>
  <c r="I171" i="18"/>
  <c r="J171" i="18" s="1"/>
  <c r="L171" i="18" s="1"/>
  <c r="N171" i="18" s="1"/>
  <c r="R171" i="18" s="1"/>
  <c r="I192" i="18"/>
  <c r="J192" i="18" s="1"/>
  <c r="L192" i="18" s="1"/>
  <c r="N192" i="18" s="1"/>
  <c r="R192" i="18" s="1"/>
  <c r="I118" i="18"/>
  <c r="J118" i="18" s="1"/>
  <c r="L118" i="18" s="1"/>
  <c r="N118" i="18" s="1"/>
  <c r="R118" i="18" s="1"/>
  <c r="I102" i="18"/>
  <c r="J102" i="18" s="1"/>
  <c r="L102" i="18" s="1"/>
  <c r="N102" i="18" s="1"/>
  <c r="R102" i="18" s="1"/>
  <c r="I170" i="18"/>
  <c r="J170" i="18" s="1"/>
  <c r="L170" i="18" s="1"/>
  <c r="N170" i="18" s="1"/>
  <c r="R170" i="18" s="1"/>
  <c r="I211" i="18"/>
  <c r="J211" i="18" s="1"/>
  <c r="L211" i="18" s="1"/>
  <c r="N211" i="18" s="1"/>
  <c r="R211" i="18" s="1"/>
  <c r="I98" i="18"/>
  <c r="J98" i="18" s="1"/>
  <c r="L98" i="18" s="1"/>
  <c r="N98" i="18" s="1"/>
  <c r="R98" i="18" s="1"/>
  <c r="I144" i="18"/>
  <c r="J144" i="18" s="1"/>
  <c r="L144" i="18" s="1"/>
  <c r="N144" i="18" s="1"/>
  <c r="R144" i="18" s="1"/>
  <c r="I69" i="18"/>
  <c r="J69" i="18" s="1"/>
  <c r="L69" i="18" s="1"/>
  <c r="N69" i="18" s="1"/>
  <c r="R69" i="18" s="1"/>
  <c r="I90" i="18"/>
  <c r="J90" i="18" s="1"/>
  <c r="L90" i="18" s="1"/>
  <c r="N90" i="18" s="1"/>
  <c r="R90" i="18" s="1"/>
  <c r="I153" i="18"/>
  <c r="J153" i="18" s="1"/>
  <c r="L153" i="18" s="1"/>
  <c r="N153" i="18" s="1"/>
  <c r="R153" i="18" s="1"/>
  <c r="I201" i="18"/>
  <c r="J201" i="18" s="1"/>
  <c r="L201" i="18" s="1"/>
  <c r="N201" i="18" s="1"/>
  <c r="R201" i="18" s="1"/>
  <c r="I150" i="18"/>
  <c r="J150" i="18" s="1"/>
  <c r="L150" i="18" s="1"/>
  <c r="N150" i="18" s="1"/>
  <c r="R150" i="18" s="1"/>
  <c r="I125" i="18"/>
  <c r="J125" i="18" s="1"/>
  <c r="L125" i="18" s="1"/>
  <c r="N125" i="18" s="1"/>
  <c r="R125" i="18" s="1"/>
  <c r="I103" i="18"/>
  <c r="J103" i="18" s="1"/>
  <c r="L103" i="18" s="1"/>
  <c r="N103" i="18" s="1"/>
  <c r="R103" i="18" s="1"/>
  <c r="I187" i="18"/>
  <c r="J187" i="18" s="1"/>
  <c r="L187" i="18" s="1"/>
  <c r="N187" i="18" s="1"/>
  <c r="R187" i="18" s="1"/>
  <c r="I34" i="18"/>
  <c r="J34" i="18" s="1"/>
  <c r="L34" i="18" s="1"/>
  <c r="N34" i="18" s="1"/>
  <c r="R34" i="18" s="1"/>
  <c r="I140" i="18"/>
  <c r="J140" i="18" s="1"/>
  <c r="L140" i="18" s="1"/>
  <c r="N140" i="18" s="1"/>
  <c r="R140" i="18" s="1"/>
  <c r="I121" i="18"/>
  <c r="J121" i="18" s="1"/>
  <c r="L121" i="18" s="1"/>
  <c r="N121" i="18" s="1"/>
  <c r="R121" i="18" s="1"/>
  <c r="I68" i="18"/>
  <c r="J68" i="18" s="1"/>
  <c r="L68" i="18" s="1"/>
  <c r="N68" i="18" s="1"/>
  <c r="R68" i="18" s="1"/>
  <c r="I94" i="18"/>
  <c r="J94" i="18" s="1"/>
  <c r="L94" i="18" s="1"/>
  <c r="N94" i="18" s="1"/>
  <c r="R94" i="18" s="1"/>
  <c r="I164" i="18"/>
  <c r="J164" i="18" s="1"/>
  <c r="L164" i="18" s="1"/>
  <c r="N164" i="18" s="1"/>
  <c r="R164" i="18" s="1"/>
  <c r="I207" i="18"/>
  <c r="J207" i="18" s="1"/>
  <c r="L207" i="18" s="1"/>
  <c r="N207" i="18" s="1"/>
  <c r="R207" i="18" s="1"/>
  <c r="I92" i="18"/>
  <c r="J92" i="18" s="1"/>
  <c r="L92" i="18" s="1"/>
  <c r="N92" i="18" s="1"/>
  <c r="R92" i="18" s="1"/>
  <c r="I54" i="18"/>
  <c r="J54" i="18" s="1"/>
  <c r="L54" i="18" s="1"/>
  <c r="N54" i="18" s="1"/>
  <c r="R54" i="18" s="1"/>
  <c r="I88" i="18"/>
  <c r="J88" i="18" s="1"/>
  <c r="L88" i="18" s="1"/>
  <c r="N88" i="18" s="1"/>
  <c r="R88" i="18" s="1"/>
  <c r="I39" i="18"/>
  <c r="J39" i="18" s="1"/>
  <c r="L39" i="18" s="1"/>
  <c r="N39" i="18" s="1"/>
  <c r="R39" i="18" s="1"/>
  <c r="I130" i="18"/>
  <c r="J130" i="18" s="1"/>
  <c r="L130" i="18" s="1"/>
  <c r="N130" i="18" s="1"/>
  <c r="R130" i="18" s="1"/>
  <c r="I66" i="18"/>
  <c r="J66" i="18" s="1"/>
  <c r="L66" i="18" s="1"/>
  <c r="N66" i="18" s="1"/>
  <c r="R66" i="18" s="1"/>
  <c r="I43" i="18"/>
  <c r="J43" i="18" s="1"/>
  <c r="L43" i="18" s="1"/>
  <c r="N43" i="18" s="1"/>
  <c r="R43" i="18" s="1"/>
  <c r="I96" i="18"/>
  <c r="J96" i="18" s="1"/>
  <c r="L96" i="18" s="1"/>
  <c r="N96" i="18" s="1"/>
  <c r="R96" i="18" s="1"/>
  <c r="I63" i="18"/>
  <c r="J63" i="18" s="1"/>
  <c r="L63" i="18" s="1"/>
  <c r="N63" i="18" s="1"/>
  <c r="R63" i="18" s="1"/>
  <c r="I139" i="18"/>
  <c r="J139" i="18" s="1"/>
  <c r="L139" i="18" s="1"/>
  <c r="N139" i="18" s="1"/>
  <c r="R139" i="18" s="1"/>
  <c r="I206" i="18"/>
  <c r="J206" i="18" s="1"/>
  <c r="L206" i="18" s="1"/>
  <c r="N206" i="18" s="1"/>
  <c r="R206" i="18" s="1"/>
  <c r="I122" i="18"/>
  <c r="J122" i="18" s="1"/>
  <c r="L122" i="18" s="1"/>
  <c r="N122" i="18" s="1"/>
  <c r="R122" i="18" s="1"/>
  <c r="I114" i="18"/>
  <c r="J114" i="18" s="1"/>
  <c r="L114" i="18" s="1"/>
  <c r="N114" i="18" s="1"/>
  <c r="R114" i="18" s="1"/>
  <c r="I135" i="18"/>
  <c r="J135" i="18" s="1"/>
  <c r="L135" i="18" s="1"/>
  <c r="N135" i="18" s="1"/>
  <c r="R135" i="18" s="1"/>
  <c r="I174" i="18"/>
  <c r="J174" i="18" s="1"/>
  <c r="L174" i="18" s="1"/>
  <c r="N174" i="18" s="1"/>
  <c r="R174" i="18" s="1"/>
  <c r="I182" i="18"/>
  <c r="J182" i="18" s="1"/>
  <c r="L182" i="18" s="1"/>
  <c r="N182" i="18" s="1"/>
  <c r="R182" i="18" s="1"/>
  <c r="I70" i="18"/>
  <c r="J70" i="18" s="1"/>
  <c r="L70" i="18" s="1"/>
  <c r="N70" i="18" s="1"/>
  <c r="R70" i="18" s="1"/>
  <c r="I49" i="18"/>
  <c r="J49" i="18" s="1"/>
  <c r="L49" i="18" s="1"/>
  <c r="N49" i="18" s="1"/>
  <c r="R49" i="18" s="1"/>
  <c r="I158" i="18"/>
  <c r="J158" i="18" s="1"/>
  <c r="L158" i="18" s="1"/>
  <c r="N158" i="18" s="1"/>
  <c r="R158" i="18" s="1"/>
  <c r="I195" i="18"/>
  <c r="J195" i="18" s="1"/>
  <c r="L195" i="18" s="1"/>
  <c r="N195" i="18" s="1"/>
  <c r="R195" i="18" s="1"/>
  <c r="I126" i="18"/>
  <c r="J126" i="18" s="1"/>
  <c r="L126" i="18" s="1"/>
  <c r="N126" i="18" s="1"/>
  <c r="R126" i="18" s="1"/>
  <c r="I148" i="18"/>
  <c r="J148" i="18" s="1"/>
  <c r="L148" i="18" s="1"/>
  <c r="N148" i="18" s="1"/>
  <c r="R148" i="18" s="1"/>
  <c r="I52" i="18"/>
  <c r="J52" i="18" s="1"/>
  <c r="L52" i="18" s="1"/>
  <c r="N52" i="18" s="1"/>
  <c r="R52" i="18" s="1"/>
  <c r="I151" i="18"/>
  <c r="J151" i="18" s="1"/>
  <c r="L151" i="18" s="1"/>
  <c r="N151" i="18" s="1"/>
  <c r="R151" i="18" s="1"/>
  <c r="I142" i="18"/>
  <c r="J142" i="18" s="1"/>
  <c r="L142" i="18" s="1"/>
  <c r="N142" i="18" s="1"/>
  <c r="R142" i="18" s="1"/>
  <c r="I78" i="18"/>
  <c r="J78" i="18" s="1"/>
  <c r="L78" i="18" s="1"/>
  <c r="N78" i="18" s="1"/>
  <c r="R78" i="18" s="1"/>
  <c r="I87" i="18"/>
  <c r="J87" i="18" s="1"/>
  <c r="L87" i="18" s="1"/>
  <c r="N87" i="18" s="1"/>
  <c r="R87" i="18" s="1"/>
  <c r="I117" i="18"/>
  <c r="J117" i="18" s="1"/>
  <c r="L117" i="18" s="1"/>
  <c r="N117" i="18" s="1"/>
  <c r="R117" i="18" s="1"/>
  <c r="I91" i="18"/>
  <c r="J91" i="18" s="1"/>
  <c r="L91" i="18" s="1"/>
  <c r="N91" i="18" s="1"/>
  <c r="R91" i="18" s="1"/>
  <c r="I22" i="18"/>
  <c r="J22" i="18" s="1"/>
  <c r="L22" i="18" s="1"/>
  <c r="N22" i="18" s="1"/>
  <c r="R22" i="18" s="1"/>
  <c r="I143" i="18"/>
  <c r="J143" i="18" s="1"/>
  <c r="L143" i="18" s="1"/>
  <c r="N143" i="18" s="1"/>
  <c r="R143" i="18" s="1"/>
  <c r="I104" i="18"/>
  <c r="J104" i="18" s="1"/>
  <c r="L104" i="18" s="1"/>
  <c r="N104" i="18" s="1"/>
  <c r="R104" i="18" s="1"/>
  <c r="I198" i="18"/>
  <c r="J198" i="18" s="1"/>
  <c r="L198" i="18" s="1"/>
  <c r="N198" i="18" s="1"/>
  <c r="R198" i="18" s="1"/>
  <c r="I132" i="18"/>
  <c r="J132" i="18" s="1"/>
  <c r="L132" i="18" s="1"/>
  <c r="N132" i="18" s="1"/>
  <c r="R132" i="18" s="1"/>
  <c r="I179" i="18"/>
  <c r="J179" i="18" s="1"/>
  <c r="L179" i="18" s="1"/>
  <c r="N179" i="18" s="1"/>
  <c r="R179" i="18" s="1"/>
  <c r="I200" i="18"/>
  <c r="J200" i="18" s="1"/>
  <c r="L200" i="18" s="1"/>
  <c r="N200" i="18" s="1"/>
  <c r="R200" i="18" s="1"/>
  <c r="I147" i="18"/>
  <c r="J147" i="18" s="1"/>
  <c r="L147" i="18" s="1"/>
  <c r="N147" i="18" s="1"/>
  <c r="R147" i="18" s="1"/>
  <c r="I38" i="18"/>
  <c r="J38" i="18" s="1"/>
  <c r="L38" i="18" s="1"/>
  <c r="N38" i="18" s="1"/>
  <c r="R38" i="18" s="1"/>
  <c r="I205" i="18"/>
  <c r="J205" i="18" s="1"/>
  <c r="L205" i="18" s="1"/>
  <c r="N205" i="18" s="1"/>
  <c r="R205" i="18" s="1"/>
  <c r="I165" i="18"/>
  <c r="J165" i="18" s="1"/>
  <c r="L165" i="18" s="1"/>
  <c r="N165" i="18" s="1"/>
  <c r="R165" i="18" s="1"/>
  <c r="I185" i="18"/>
  <c r="J185" i="18" s="1"/>
  <c r="L185" i="18" s="1"/>
  <c r="N185" i="18" s="1"/>
  <c r="R185" i="18" s="1"/>
  <c r="I196" i="18"/>
  <c r="J196" i="18" s="1"/>
  <c r="L196" i="18" s="1"/>
  <c r="N196" i="18" s="1"/>
  <c r="R196" i="18" s="1"/>
  <c r="I129" i="18"/>
  <c r="J129" i="18" s="1"/>
  <c r="L129" i="18" s="1"/>
  <c r="N129" i="18" s="1"/>
  <c r="R129" i="18" s="1"/>
  <c r="I146" i="18"/>
  <c r="J146" i="18" s="1"/>
  <c r="L146" i="18" s="1"/>
  <c r="N146" i="18" s="1"/>
  <c r="R146" i="18" s="1"/>
  <c r="I75" i="18"/>
  <c r="J75" i="18" s="1"/>
  <c r="L75" i="18" s="1"/>
  <c r="N75" i="18" s="1"/>
  <c r="R75" i="18" s="1"/>
  <c r="I24" i="18"/>
  <c r="J24" i="18" s="1"/>
  <c r="L24" i="18" s="1"/>
  <c r="N24" i="18" s="1"/>
  <c r="R24" i="18" s="1"/>
  <c r="I61" i="18"/>
  <c r="J61" i="18" s="1"/>
  <c r="L61" i="18" s="1"/>
  <c r="N61" i="18" s="1"/>
  <c r="R61" i="18" s="1"/>
  <c r="I72" i="18"/>
  <c r="J72" i="18" s="1"/>
  <c r="L72" i="18" s="1"/>
  <c r="N72" i="18" s="1"/>
  <c r="R72" i="18" s="1"/>
  <c r="I127" i="18"/>
  <c r="J127" i="18" s="1"/>
  <c r="L127" i="18" s="1"/>
  <c r="N127" i="18" s="1"/>
  <c r="R127" i="18" s="1"/>
  <c r="I167" i="18"/>
  <c r="J167" i="18" s="1"/>
  <c r="L167" i="18" s="1"/>
  <c r="N167" i="18" s="1"/>
  <c r="R167" i="18" s="1"/>
  <c r="I26" i="18"/>
  <c r="J26" i="18" s="1"/>
  <c r="L26" i="18" s="1"/>
  <c r="N26" i="18" s="1"/>
  <c r="R26" i="18" s="1"/>
  <c r="I23" i="18"/>
  <c r="J23" i="18" s="1"/>
  <c r="L23" i="18" s="1"/>
  <c r="N23" i="18" s="1"/>
  <c r="R23" i="18" s="1"/>
  <c r="I80" i="18"/>
  <c r="J80" i="18" s="1"/>
  <c r="L80" i="18" s="1"/>
  <c r="N80" i="18" s="1"/>
  <c r="R80" i="18" s="1"/>
  <c r="I106" i="18"/>
  <c r="J106" i="18" s="1"/>
  <c r="L106" i="18" s="1"/>
  <c r="N106" i="18" s="1"/>
  <c r="R106" i="18" s="1"/>
  <c r="I161" i="18"/>
  <c r="J161" i="18" s="1"/>
  <c r="L161" i="18" s="1"/>
  <c r="N161" i="18" s="1"/>
  <c r="R161" i="18" s="1"/>
  <c r="I180" i="18"/>
  <c r="J180" i="18" s="1"/>
  <c r="L180" i="18" s="1"/>
  <c r="N180" i="18" s="1"/>
  <c r="R180" i="18" s="1"/>
  <c r="I84" i="18"/>
  <c r="J84" i="18" s="1"/>
  <c r="L84" i="18" s="1"/>
  <c r="N84" i="18" s="1"/>
  <c r="R84" i="18" s="1"/>
  <c r="I160" i="18"/>
  <c r="J160" i="18" s="1"/>
  <c r="L160" i="18" s="1"/>
  <c r="N160" i="18" s="1"/>
  <c r="R160" i="18" s="1"/>
  <c r="I45" i="18"/>
  <c r="J45" i="18" s="1"/>
  <c r="L45" i="18" s="1"/>
  <c r="N45" i="18" s="1"/>
  <c r="R45" i="18" s="1"/>
  <c r="I62" i="18"/>
  <c r="J62" i="18" s="1"/>
  <c r="L62" i="18" s="1"/>
  <c r="N62" i="18" s="1"/>
  <c r="R62" i="18" s="1"/>
  <c r="I159" i="18"/>
  <c r="J159" i="18" s="1"/>
  <c r="L159" i="18" s="1"/>
  <c r="N159" i="18" s="1"/>
  <c r="R159" i="18" s="1"/>
  <c r="I178" i="18"/>
  <c r="J178" i="18" s="1"/>
  <c r="L178" i="18" s="1"/>
  <c r="N178" i="18" s="1"/>
  <c r="R178" i="18" s="1"/>
  <c r="I32" i="18"/>
  <c r="J32" i="18" s="1"/>
  <c r="L32" i="18" s="1"/>
  <c r="N32" i="18" s="1"/>
  <c r="R32" i="18" s="1"/>
  <c r="I191" i="18"/>
  <c r="J191" i="18" s="1"/>
  <c r="L191" i="18" s="1"/>
  <c r="N191" i="18" s="1"/>
  <c r="R191" i="18" s="1"/>
  <c r="I35" i="18"/>
  <c r="J35" i="18" s="1"/>
  <c r="L35" i="18" s="1"/>
  <c r="N35" i="18" s="1"/>
  <c r="R35" i="18" s="1"/>
  <c r="I105" i="18"/>
  <c r="J105" i="18" s="1"/>
  <c r="L105" i="18" s="1"/>
  <c r="N105" i="18" s="1"/>
  <c r="R105" i="18" s="1"/>
  <c r="I100" i="18"/>
  <c r="J100" i="18" s="1"/>
  <c r="L100" i="18" s="1"/>
  <c r="N100" i="18" s="1"/>
  <c r="R100" i="18" s="1"/>
  <c r="I82" i="18"/>
  <c r="J82" i="18" s="1"/>
  <c r="L82" i="18" s="1"/>
  <c r="N82" i="18" s="1"/>
  <c r="R82" i="18" s="1"/>
  <c r="I157" i="18"/>
  <c r="J157" i="18" s="1"/>
  <c r="L157" i="18" s="1"/>
  <c r="N157" i="18" s="1"/>
  <c r="R157" i="18" s="1"/>
  <c r="I59" i="18"/>
  <c r="J59" i="18" s="1"/>
  <c r="L59" i="18" s="1"/>
  <c r="N59" i="18" s="1"/>
  <c r="R59" i="18" s="1"/>
  <c r="I210" i="18"/>
  <c r="J210" i="18" s="1"/>
  <c r="L210" i="18" s="1"/>
  <c r="N210" i="18" s="1"/>
  <c r="R210" i="18" s="1"/>
  <c r="I107" i="18"/>
  <c r="J107" i="18" s="1"/>
  <c r="L107" i="18" s="1"/>
  <c r="N107" i="18" s="1"/>
  <c r="R107" i="18" s="1"/>
  <c r="I155" i="18"/>
  <c r="J155" i="18" s="1"/>
  <c r="L155" i="18" s="1"/>
  <c r="N155" i="18" s="1"/>
  <c r="R155" i="18" s="1"/>
  <c r="F14" i="29"/>
  <c r="I71" i="18"/>
  <c r="J71" i="18" s="1"/>
  <c r="L71" i="18" s="1"/>
  <c r="N71" i="18" s="1"/>
  <c r="R71" i="18" s="1"/>
  <c r="I30" i="18"/>
  <c r="J30" i="18" s="1"/>
  <c r="L30" i="18" s="1"/>
  <c r="N30" i="18" s="1"/>
  <c r="R30" i="18" s="1"/>
  <c r="I46" i="18"/>
  <c r="J46" i="18" s="1"/>
  <c r="L46" i="18" s="1"/>
  <c r="N46" i="18" s="1"/>
  <c r="R46" i="18" s="1"/>
  <c r="I55" i="18"/>
  <c r="J55" i="18" s="1"/>
  <c r="L55" i="18" s="1"/>
  <c r="N55" i="18" s="1"/>
  <c r="R55" i="18" s="1"/>
  <c r="I154" i="18"/>
  <c r="J154" i="18" s="1"/>
  <c r="L154" i="18" s="1"/>
  <c r="N154" i="18" s="1"/>
  <c r="R154" i="18" s="1"/>
  <c r="I81" i="18"/>
  <c r="J81" i="18" s="1"/>
  <c r="L81" i="18" s="1"/>
  <c r="N81" i="18" s="1"/>
  <c r="R81" i="18" s="1"/>
  <c r="I60" i="18"/>
  <c r="J60" i="18" s="1"/>
  <c r="L60" i="18" s="1"/>
  <c r="N60" i="18" s="1"/>
  <c r="R60" i="18" s="1"/>
  <c r="I21" i="18"/>
  <c r="J21" i="18" s="1"/>
  <c r="L21" i="18" s="1"/>
  <c r="N21" i="18" s="1"/>
  <c r="R21" i="18" s="1"/>
  <c r="I162" i="18"/>
  <c r="J162" i="18" s="1"/>
  <c r="L162" i="18" s="1"/>
  <c r="N162" i="18" s="1"/>
  <c r="R162" i="18" s="1"/>
  <c r="I136" i="18"/>
  <c r="J136" i="18" s="1"/>
  <c r="L136" i="18" s="1"/>
  <c r="N136" i="18" s="1"/>
  <c r="R136" i="18" s="1"/>
  <c r="I141" i="18"/>
  <c r="J141" i="18" s="1"/>
  <c r="L141" i="18" s="1"/>
  <c r="N141" i="18" s="1"/>
  <c r="R141" i="18" s="1"/>
  <c r="I181" i="18"/>
  <c r="J181" i="18" s="1"/>
  <c r="L181" i="18" s="1"/>
  <c r="N181" i="18" s="1"/>
  <c r="R181" i="18" s="1"/>
  <c r="I58" i="18"/>
  <c r="J58" i="18" s="1"/>
  <c r="L58" i="18" s="1"/>
  <c r="N58" i="18" s="1"/>
  <c r="R58" i="18" s="1"/>
  <c r="I93" i="18"/>
  <c r="J93" i="18" s="1"/>
  <c r="L93" i="18" s="1"/>
  <c r="N93" i="18" s="1"/>
  <c r="R93" i="18" s="1"/>
  <c r="I64" i="18"/>
  <c r="J64" i="18" s="1"/>
  <c r="L64" i="18" s="1"/>
  <c r="N64" i="18" s="1"/>
  <c r="R64" i="18" s="1"/>
  <c r="I145" i="18"/>
  <c r="J145" i="18" s="1"/>
  <c r="L145" i="18" s="1"/>
  <c r="N145" i="18" s="1"/>
  <c r="R145" i="18" s="1"/>
  <c r="I133" i="18"/>
  <c r="J133" i="18" s="1"/>
  <c r="L133" i="18" s="1"/>
  <c r="N133" i="18" s="1"/>
  <c r="R133" i="18" s="1"/>
  <c r="I56" i="18"/>
  <c r="J56" i="18" s="1"/>
  <c r="I131" i="18"/>
  <c r="J131" i="18" s="1"/>
  <c r="L131" i="18" s="1"/>
  <c r="N131" i="18" s="1"/>
  <c r="R131" i="18" s="1"/>
  <c r="I20" i="18"/>
  <c r="J20" i="18" s="1"/>
  <c r="I48" i="18"/>
  <c r="J48" i="18" s="1"/>
  <c r="L48" i="18" s="1"/>
  <c r="N48" i="18" s="1"/>
  <c r="R48" i="18" s="1"/>
  <c r="I194" i="18"/>
  <c r="J194" i="18" s="1"/>
  <c r="L194" i="18" s="1"/>
  <c r="N194" i="18" s="1"/>
  <c r="R194" i="18" s="1"/>
  <c r="I193" i="18"/>
  <c r="J193" i="18" s="1"/>
  <c r="L193" i="18" s="1"/>
  <c r="N193" i="18" s="1"/>
  <c r="R193" i="18" s="1"/>
  <c r="I175" i="18"/>
  <c r="J175" i="18" s="1"/>
  <c r="L175" i="18" s="1"/>
  <c r="N175" i="18" s="1"/>
  <c r="R175" i="18" s="1"/>
  <c r="I109" i="18"/>
  <c r="J109" i="18" s="1"/>
  <c r="L109" i="18" s="1"/>
  <c r="N109" i="18" s="1"/>
  <c r="R109" i="18" s="1"/>
  <c r="I44" i="18"/>
  <c r="J44" i="18" s="1"/>
  <c r="L44" i="18" s="1"/>
  <c r="N44" i="18" s="1"/>
  <c r="R44" i="18" s="1"/>
  <c r="I189" i="18"/>
  <c r="J189" i="18" s="1"/>
  <c r="L189" i="18" s="1"/>
  <c r="N189" i="18" s="1"/>
  <c r="R189" i="18" s="1"/>
  <c r="I83" i="18"/>
  <c r="J83" i="18" s="1"/>
  <c r="L83" i="18" s="1"/>
  <c r="N83" i="18" s="1"/>
  <c r="R83" i="18" s="1"/>
  <c r="I99" i="18"/>
  <c r="J99" i="18" s="1"/>
  <c r="L99" i="18" s="1"/>
  <c r="N99" i="18" s="1"/>
  <c r="R99" i="18" s="1"/>
  <c r="I73" i="18"/>
  <c r="J73" i="18" s="1"/>
  <c r="L73" i="18" s="1"/>
  <c r="N73" i="18" s="1"/>
  <c r="R73" i="18" s="1"/>
  <c r="I65" i="18"/>
  <c r="J65" i="18" s="1"/>
  <c r="L65" i="18" s="1"/>
  <c r="N65" i="18" s="1"/>
  <c r="R65" i="18" s="1"/>
  <c r="I42" i="18"/>
  <c r="J42" i="18" s="1"/>
  <c r="L42" i="18" s="1"/>
  <c r="N42" i="18" s="1"/>
  <c r="R42" i="18" s="1"/>
  <c r="I163" i="18"/>
  <c r="J163" i="18" s="1"/>
  <c r="L163" i="18" s="1"/>
  <c r="N163" i="18" s="1"/>
  <c r="R163" i="18" s="1"/>
  <c r="I95" i="18"/>
  <c r="J95" i="18" s="1"/>
  <c r="L95" i="18" s="1"/>
  <c r="N95" i="18" s="1"/>
  <c r="R95" i="18" s="1"/>
  <c r="I120" i="18"/>
  <c r="J120" i="18" s="1"/>
  <c r="L120" i="18" s="1"/>
  <c r="N120" i="18" s="1"/>
  <c r="R120" i="18" s="1"/>
  <c r="I173" i="18"/>
  <c r="J173" i="18" s="1"/>
  <c r="L173" i="18" s="1"/>
  <c r="N173" i="18" s="1"/>
  <c r="R173" i="18" s="1"/>
  <c r="I85" i="18"/>
  <c r="J85" i="18" s="1"/>
  <c r="L85" i="18" s="1"/>
  <c r="N85" i="18" s="1"/>
  <c r="R85" i="18" s="1"/>
  <c r="I169" i="18"/>
  <c r="J169" i="18" s="1"/>
  <c r="L169" i="18" s="1"/>
  <c r="N169" i="18" s="1"/>
  <c r="R169" i="18" s="1"/>
  <c r="J212" i="18" l="1"/>
  <c r="L20" i="18"/>
  <c r="J14" i="18"/>
  <c r="L56" i="18"/>
  <c r="J13" i="18"/>
  <c r="L13" i="18" l="1"/>
  <c r="N56" i="18"/>
  <c r="L14" i="18"/>
  <c r="L212" i="18"/>
  <c r="N20" i="18"/>
  <c r="N13" i="18" l="1"/>
  <c r="R56" i="18"/>
  <c r="R13" i="18" s="1"/>
  <c r="R20" i="18"/>
  <c r="N14" i="18"/>
  <c r="R14" i="18" l="1"/>
  <c r="R212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rlp</author>
  </authors>
  <commentList>
    <comment ref="J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True-Up ATRR and rate from current year's (t=0) update.
</t>
        </r>
      </text>
    </comment>
    <comment ref="K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3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5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6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J19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Actual Charge based on after the fact "True-Up" rate for entire prior CY.</t>
        </r>
      </text>
    </comment>
    <comment ref="K19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Amount charged during the Rate Year based on projected rates.</t>
        </r>
      </text>
    </comment>
  </commentList>
</comments>
</file>

<file path=xl/sharedStrings.xml><?xml version="1.0" encoding="utf-8"?>
<sst xmlns="http://schemas.openxmlformats.org/spreadsheetml/2006/main" count="417" uniqueCount="100">
  <si>
    <t>Customer</t>
  </si>
  <si>
    <t>MW</t>
  </si>
  <si>
    <t>Total True-up</t>
  </si>
  <si>
    <t>True-Up w/o Interest</t>
  </si>
  <si>
    <t>Billing
Date*</t>
  </si>
  <si>
    <t>Payment Received*</t>
  </si>
  <si>
    <t>Annual RR</t>
  </si>
  <si>
    <t>Interest</t>
  </si>
  <si>
    <t>OMPA</t>
  </si>
  <si>
    <t>WFEC</t>
  </si>
  <si>
    <t>Monthly Rate</t>
  </si>
  <si>
    <t>True-up Values:  Surcharge / (Refund)</t>
  </si>
  <si>
    <t>Sched.</t>
  </si>
  <si>
    <t>ETEC</t>
  </si>
  <si>
    <t>AECC</t>
  </si>
  <si>
    <t>Greenbelt</t>
  </si>
  <si>
    <t>Lighthouse</t>
  </si>
  <si>
    <t>Coffeyville, KS</t>
  </si>
  <si>
    <t>Grand Total</t>
  </si>
  <si>
    <t>OG&amp;E</t>
  </si>
  <si>
    <t>AEP Revenue Adjustment</t>
  </si>
  <si>
    <t>PSO</t>
  </si>
  <si>
    <t>SWEPCO</t>
  </si>
  <si>
    <r>
      <t xml:space="preserve">NOTE:  </t>
    </r>
    <r>
      <rPr>
        <sz val="10"/>
        <rFont val="Arial"/>
        <family val="2"/>
      </rPr>
      <t>This is a normal part of the Annual True-up</t>
    </r>
  </si>
  <si>
    <t>Data</t>
  </si>
  <si>
    <t>Sum of True-Up w/o Interest</t>
  </si>
  <si>
    <t>Sum of Interest</t>
  </si>
  <si>
    <t>Sum of Total True-up</t>
  </si>
  <si>
    <t>Total Sum of True-Up w/o Interest</t>
  </si>
  <si>
    <t>Total Sum of Interest</t>
  </si>
  <si>
    <t>Total Sum of Total True-up</t>
  </si>
  <si>
    <t>(A)</t>
  </si>
  <si>
    <t>(B)</t>
  </si>
  <si>
    <t>(C)</t>
  </si>
  <si>
    <t>(D) = (B) - (C)</t>
  </si>
  <si>
    <t>(E)</t>
  </si>
  <si>
    <t>Network Customer True-Up (Schedule 9 charges)</t>
  </si>
  <si>
    <t>Projected</t>
  </si>
  <si>
    <r>
      <t xml:space="preserve">Projected </t>
    </r>
    <r>
      <rPr>
        <sz val="10"/>
        <rFont val="Arial Narrow"/>
        <family val="2"/>
      </rPr>
      <t>(Invoiced)</t>
    </r>
  </si>
  <si>
    <t xml:space="preserve">  ARR</t>
  </si>
  <si>
    <t xml:space="preserve">  Monthly Rates</t>
  </si>
  <si>
    <r>
      <t>Actual</t>
    </r>
    <r>
      <rPr>
        <sz val="10"/>
        <rFont val="Arial Narrow"/>
        <family val="2"/>
      </rPr>
      <t xml:space="preserve"> (True-Up)</t>
    </r>
  </si>
  <si>
    <r>
      <t xml:space="preserve">Actual </t>
    </r>
    <r>
      <rPr>
        <sz val="10"/>
        <rFont val="Arial Narrow"/>
        <family val="2"/>
      </rPr>
      <t>(True-Up)</t>
    </r>
  </si>
  <si>
    <t xml:space="preserve">    Non-Affiliate
    Subtotals</t>
  </si>
  <si>
    <t>TOTALS</t>
  </si>
  <si>
    <t>Comment</t>
  </si>
  <si>
    <t>Actual True-Up Rate</t>
  </si>
  <si>
    <t>Invoiced*** Charge (proj.)</t>
  </si>
  <si>
    <r>
      <t>Projected Rate</t>
    </r>
    <r>
      <rPr>
        <sz val="8"/>
        <rFont val="Arial"/>
        <family val="2"/>
      </rPr>
      <t xml:space="preserve"> (as Invoiced)</t>
    </r>
  </si>
  <si>
    <t>Sum of Invoiced*** Charge (proj.)</t>
  </si>
  <si>
    <t xml:space="preserve">  Customer</t>
  </si>
  <si>
    <t xml:space="preserve">    Affiliate
    Subtotals</t>
  </si>
  <si>
    <t>Customer True-Up for Amounts Billed</t>
  </si>
  <si>
    <t>Serivce Month</t>
  </si>
  <si>
    <t>Bentonville, AR</t>
  </si>
  <si>
    <t>Prescott, AR</t>
  </si>
  <si>
    <t>Minden, LA</t>
  </si>
  <si>
    <t>Hope, AR</t>
  </si>
  <si>
    <t>3rd Party Totals</t>
  </si>
  <si>
    <t>SPP Zone1 Totals (incl. PSO/SWE)</t>
  </si>
  <si>
    <t>Surcharge / (Refund)</t>
  </si>
  <si>
    <t>Total Sum of Invoiced*** Charge (proj.)</t>
  </si>
  <si>
    <r>
      <t xml:space="preserve">*** </t>
    </r>
    <r>
      <rPr>
        <sz val="8"/>
        <rFont val="Arial"/>
        <family val="2"/>
      </rPr>
      <t>Invoiced Charge reflects any subsequent routine invoice corrections by SPP.</t>
    </r>
  </si>
  <si>
    <t>Instructions</t>
  </si>
  <si>
    <r>
      <t>Roll Date: input trueup year in cell=</t>
    </r>
    <r>
      <rPr>
        <b/>
        <i/>
        <sz val="10"/>
        <rFont val="Arial"/>
        <family val="2"/>
      </rPr>
      <t>Transactions!N1</t>
    </r>
  </si>
  <si>
    <t>Update Prime Rates data:  see Prime-Rates tab</t>
  </si>
  <si>
    <r>
      <t>Verify Refund Date:  verify and change (if needed) Refund Date celll=</t>
    </r>
    <r>
      <rPr>
        <b/>
        <i/>
        <sz val="10"/>
        <rFont val="Arial"/>
        <family val="2"/>
      </rPr>
      <t>Transactions!W8</t>
    </r>
  </si>
  <si>
    <t>Billing/Pmt Rec'd Dates:  Verify these dates (currently set to formulaicly update relative to trueup year)</t>
  </si>
  <si>
    <t>Update SPP Zone1 NITS Customer list &amp; formulas (if needed): look at LoadWS in main template &amp; also check w/Load Settlements.</t>
  </si>
  <si>
    <t>Update invoiced Load values per month per customer (from LoadWS in main template) (transpose)</t>
  </si>
  <si>
    <t>Sum of True-Up Charge</t>
  </si>
  <si>
    <t>Total Sum of True-Up Charge</t>
  </si>
  <si>
    <r>
      <t xml:space="preserve">Refresh Pivot Table in </t>
    </r>
    <r>
      <rPr>
        <b/>
        <sz val="10"/>
        <rFont val="Arial"/>
        <family val="2"/>
      </rPr>
      <t>tab=PIVOT</t>
    </r>
  </si>
  <si>
    <t>NOTE:  Be aware that title changes to a Transaction tab column summarized in the pivot table cause such column to be dropped form the pivot table when it is refreshed.</t>
  </si>
  <si>
    <t>NOTE:  In that instance, manually update the LAYOUT of the pivot table to re-summarize the column that encountered a title change.</t>
  </si>
  <si>
    <t>NOTE:  The SUMMARY table in that tab contains GETPIVOTDATA functions that should still work as they reference tltle cells in Transactions tab.</t>
  </si>
  <si>
    <t>Update Rate Summary tab. (very manual process).</t>
  </si>
  <si>
    <t xml:space="preserve">            as contemplated in the AEP Formula Rate Protocols.</t>
  </si>
  <si>
    <t>NOTE:  "Rate Summary" tab is usually "walked-through" during customer meeting but not printed.</t>
  </si>
  <si>
    <t>NOTE:  Print to PDF the "Summary" tab as a supplement for customer Mtg handout and published PDFs.</t>
  </si>
  <si>
    <r>
      <t>Input Sched 9 ATRRs &amp; rates from prior 2 update's (projected) and this year's update (trueup)=</t>
    </r>
    <r>
      <rPr>
        <b/>
        <i/>
        <sz val="10"/>
        <rFont val="Arial"/>
        <family val="2"/>
      </rPr>
      <t>Transactions!J2:K8</t>
    </r>
  </si>
  <si>
    <t>SWEPCO-Valley</t>
  </si>
  <si>
    <t>* SPP bills customer on third business day, AEP receives on 24th or next business day.</t>
  </si>
  <si>
    <t>AECI</t>
  </si>
  <si>
    <t>Tax Rebilling Rate</t>
  </si>
  <si>
    <t>Tax True Up Billing</t>
  </si>
  <si>
    <t>Tax True Up</t>
  </si>
  <si>
    <t>Sum of Tax True Up Billing</t>
  </si>
  <si>
    <t>Total Sum of Tax True Up Billing</t>
  </si>
  <si>
    <t>Sum of Tax True Up</t>
  </si>
  <si>
    <t>Total Sum of Tax True Up</t>
  </si>
  <si>
    <t>(G) = (D) + (E) - (F)</t>
  </si>
  <si>
    <t>(G)</t>
  </si>
  <si>
    <t>January - December</t>
  </si>
  <si>
    <t>AEPTCo Formula Rate -- FERC Docket ER18-195</t>
  </si>
  <si>
    <t>2025 True Up Including Interest</t>
  </si>
  <si>
    <r>
      <t>2025 True-Up
(</t>
    </r>
    <r>
      <rPr>
        <sz val="10"/>
        <rFont val="Arial"/>
        <family val="2"/>
      </rPr>
      <t>w/o Interest)</t>
    </r>
  </si>
  <si>
    <t>2025 Interest</t>
  </si>
  <si>
    <t>Total 2025
True-Up Surcharge / (Refund)</t>
  </si>
  <si>
    <t>SOUTHWESTERN ELECTRIC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</si>
</sst>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"/>
    <numFmt numFmtId="168" formatCode="0.0%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i/>
      <sz val="9"/>
      <color indexed="10"/>
      <name val="Arial"/>
      <family val="2"/>
    </font>
    <font>
      <b/>
      <sz val="10"/>
      <color indexed="12"/>
      <name val="Arial"/>
      <family val="2"/>
    </font>
    <font>
      <b/>
      <i/>
      <sz val="10"/>
      <name val="Arial"/>
      <family val="2"/>
    </font>
    <font>
      <sz val="10"/>
      <color rgb="FF0000FF"/>
      <name val="Arial"/>
      <family val="2"/>
    </font>
    <font>
      <sz val="8"/>
      <color rgb="FF0066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22">
    <xf numFmtId="0" fontId="0" fillId="0" borderId="0" xfId="0"/>
    <xf numFmtId="0" fontId="0" fillId="0" borderId="0" xfId="0" quotePrefix="1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23" fillId="6" borderId="0" xfId="0" applyFont="1" applyFill="1"/>
    <xf numFmtId="0" fontId="2" fillId="2" borderId="0" xfId="0" quotePrefix="1" applyFont="1" applyFill="1" applyAlignment="1">
      <alignment horizontal="left"/>
    </xf>
    <xf numFmtId="0" fontId="0" fillId="2" borderId="0" xfId="0" applyFill="1"/>
    <xf numFmtId="0" fontId="10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16" fillId="0" borderId="1" xfId="0" quotePrefix="1" applyFont="1" applyBorder="1" applyAlignment="1">
      <alignment horizontal="center" vertical="center"/>
    </xf>
    <xf numFmtId="0" fontId="15" fillId="0" borderId="2" xfId="0" quotePrefix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5" fillId="0" borderId="4" xfId="0" quotePrefix="1" applyFont="1" applyBorder="1" applyAlignment="1">
      <alignment horizontal="right"/>
    </xf>
    <xf numFmtId="0" fontId="15" fillId="0" borderId="0" xfId="0" quotePrefix="1" applyFont="1" applyAlignment="1">
      <alignment horizontal="right"/>
    </xf>
    <xf numFmtId="164" fontId="4" fillId="0" borderId="0" xfId="0" applyNumberFormat="1" applyFont="1" applyAlignment="1">
      <alignment horizontal="centerContinuous"/>
    </xf>
    <xf numFmtId="0" fontId="14" fillId="0" borderId="5" xfId="0" applyFont="1" applyBorder="1" applyAlignment="1">
      <alignment horizontal="center" vertical="center" wrapText="1"/>
    </xf>
    <xf numFmtId="0" fontId="14" fillId="0" borderId="0" xfId="0" quotePrefix="1" applyFont="1" applyAlignment="1">
      <alignment horizontal="center" vertical="center" wrapText="1"/>
    </xf>
    <xf numFmtId="0" fontId="14" fillId="0" borderId="6" xfId="0" quotePrefix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5" fillId="0" borderId="2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left" vertical="center"/>
    </xf>
    <xf numFmtId="16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7" fontId="13" fillId="0" borderId="4" xfId="0" applyNumberFormat="1" applyFont="1" applyBorder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8" xfId="0" quotePrefix="1" applyFont="1" applyBorder="1" applyAlignment="1">
      <alignment horizontal="left" vertical="center"/>
    </xf>
    <xf numFmtId="0" fontId="12" fillId="0" borderId="8" xfId="0" quotePrefix="1" applyFont="1" applyBorder="1" applyAlignment="1">
      <alignment horizontal="center" vertical="center"/>
    </xf>
    <xf numFmtId="167" fontId="13" fillId="0" borderId="8" xfId="0" quotePrefix="1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5" fillId="0" borderId="10" xfId="0" quotePrefix="1" applyFont="1" applyBorder="1" applyAlignment="1">
      <alignment horizontal="left" vertical="center"/>
    </xf>
    <xf numFmtId="0" fontId="15" fillId="0" borderId="0" xfId="0" quotePrefix="1" applyFont="1" applyAlignment="1">
      <alignment horizontal="left" vertical="center"/>
    </xf>
    <xf numFmtId="164" fontId="13" fillId="0" borderId="0" xfId="0" quotePrefix="1" applyNumberFormat="1" applyFont="1" applyAlignment="1">
      <alignment horizontal="center" vertical="center" wrapText="1"/>
    </xf>
    <xf numFmtId="164" fontId="13" fillId="0" borderId="11" xfId="0" quotePrefix="1" applyNumberFormat="1" applyFont="1" applyBorder="1" applyAlignment="1">
      <alignment horizontal="center" vertical="center"/>
    </xf>
    <xf numFmtId="164" fontId="13" fillId="0" borderId="0" xfId="0" quotePrefix="1" applyNumberFormat="1" applyFont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1" xfId="0" quotePrefix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64" fontId="1" fillId="0" borderId="1" xfId="0" quotePrefix="1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2" applyNumberFormat="1" applyFont="1" applyBorder="1" applyProtection="1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3" fillId="0" borderId="12" xfId="0" quotePrefix="1" applyFont="1" applyBorder="1" applyAlignment="1">
      <alignment horizontal="left" vertical="center" wrapText="1"/>
    </xf>
    <xf numFmtId="0" fontId="3" fillId="0" borderId="13" xfId="0" quotePrefix="1" applyFont="1" applyBorder="1" applyAlignment="1">
      <alignment horizontal="center" vertical="center" wrapText="1"/>
    </xf>
    <xf numFmtId="0" fontId="3" fillId="0" borderId="14" xfId="0" quotePrefix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5" fontId="0" fillId="0" borderId="0" xfId="0" applyNumberFormat="1"/>
    <xf numFmtId="0" fontId="0" fillId="0" borderId="10" xfId="0" applyBorder="1"/>
    <xf numFmtId="165" fontId="0" fillId="0" borderId="16" xfId="2" applyNumberFormat="1" applyFont="1" applyBorder="1" applyProtection="1"/>
    <xf numFmtId="165" fontId="0" fillId="0" borderId="17" xfId="2" applyNumberFormat="1" applyFont="1" applyBorder="1" applyProtection="1"/>
    <xf numFmtId="0" fontId="0" fillId="0" borderId="10" xfId="0" quotePrefix="1" applyBorder="1" applyAlignment="1">
      <alignment horizontal="left"/>
    </xf>
    <xf numFmtId="43" fontId="0" fillId="0" borderId="0" xfId="0" applyNumberFormat="1"/>
    <xf numFmtId="0" fontId="0" fillId="0" borderId="19" xfId="0" applyBorder="1"/>
    <xf numFmtId="0" fontId="9" fillId="3" borderId="20" xfId="0" quotePrefix="1" applyFont="1" applyFill="1" applyBorder="1" applyAlignment="1">
      <alignment horizontal="left" vertical="center" wrapText="1"/>
    </xf>
    <xf numFmtId="165" fontId="0" fillId="3" borderId="21" xfId="2" applyNumberFormat="1" applyFont="1" applyFill="1" applyBorder="1" applyAlignment="1" applyProtection="1">
      <alignment vertical="center"/>
    </xf>
    <xf numFmtId="165" fontId="0" fillId="3" borderId="22" xfId="2" applyNumberFormat="1" applyFont="1" applyFill="1" applyBorder="1" applyAlignment="1" applyProtection="1">
      <alignment vertical="center"/>
    </xf>
    <xf numFmtId="165" fontId="3" fillId="3" borderId="23" xfId="2" applyNumberFormat="1" applyFont="1" applyFill="1" applyBorder="1" applyAlignment="1" applyProtection="1">
      <alignment vertical="center"/>
    </xf>
    <xf numFmtId="0" fontId="0" fillId="0" borderId="25" xfId="0" quotePrefix="1" applyBorder="1" applyAlignment="1">
      <alignment horizontal="left"/>
    </xf>
    <xf numFmtId="0" fontId="0" fillId="0" borderId="18" xfId="0" applyBorder="1"/>
    <xf numFmtId="0" fontId="0" fillId="0" borderId="26" xfId="0" applyBorder="1"/>
    <xf numFmtId="0" fontId="9" fillId="0" borderId="20" xfId="0" quotePrefix="1" applyFont="1" applyBorder="1" applyAlignment="1">
      <alignment horizontal="left" vertical="center" wrapText="1"/>
    </xf>
    <xf numFmtId="165" fontId="0" fillId="0" borderId="21" xfId="2" applyNumberFormat="1" applyFont="1" applyFill="1" applyBorder="1" applyAlignment="1" applyProtection="1">
      <alignment vertical="center"/>
    </xf>
    <xf numFmtId="165" fontId="0" fillId="0" borderId="22" xfId="2" applyNumberFormat="1" applyFont="1" applyFill="1" applyBorder="1" applyAlignment="1" applyProtection="1">
      <alignment vertical="center"/>
    </xf>
    <xf numFmtId="165" fontId="3" fillId="0" borderId="23" xfId="2" applyNumberFormat="1" applyFont="1" applyFill="1" applyBorder="1" applyAlignment="1" applyProtection="1">
      <alignment vertical="center"/>
    </xf>
    <xf numFmtId="166" fontId="0" fillId="0" borderId="0" xfId="1" applyNumberFormat="1" applyFont="1" applyProtection="1"/>
    <xf numFmtId="0" fontId="9" fillId="0" borderId="5" xfId="0" quotePrefix="1" applyFont="1" applyBorder="1" applyAlignment="1">
      <alignment horizontal="center" vertical="center" wrapText="1"/>
    </xf>
    <xf numFmtId="165" fontId="0" fillId="0" borderId="27" xfId="2" applyNumberFormat="1" applyFont="1" applyBorder="1" applyAlignment="1" applyProtection="1">
      <alignment vertical="center"/>
    </xf>
    <xf numFmtId="165" fontId="0" fillId="0" borderId="28" xfId="2" applyNumberFormat="1" applyFont="1" applyBorder="1" applyAlignment="1" applyProtection="1">
      <alignment vertical="center"/>
    </xf>
    <xf numFmtId="165" fontId="0" fillId="0" borderId="29" xfId="2" applyNumberFormat="1" applyFont="1" applyBorder="1" applyAlignment="1" applyProtection="1">
      <alignment vertical="center"/>
    </xf>
    <xf numFmtId="166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164" fontId="9" fillId="0" borderId="14" xfId="0" applyNumberFormat="1" applyFont="1" applyBorder="1" applyAlignment="1">
      <alignment horizontal="center" wrapText="1"/>
    </xf>
    <xf numFmtId="164" fontId="4" fillId="0" borderId="14" xfId="0" applyNumberFormat="1" applyFont="1" applyBorder="1" applyAlignment="1">
      <alignment horizontal="center" wrapText="1"/>
    </xf>
    <xf numFmtId="0" fontId="0" fillId="0" borderId="15" xfId="0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7" fontId="7" fillId="6" borderId="0" xfId="0" applyNumberFormat="1" applyFont="1" applyFill="1" applyAlignment="1">
      <alignment horizontal="right"/>
    </xf>
    <xf numFmtId="10" fontId="24" fillId="0" borderId="0" xfId="4" quotePrefix="1" applyNumberFormat="1" applyFont="1" applyBorder="1" applyAlignment="1" applyProtection="1">
      <alignment horizontal="left"/>
    </xf>
    <xf numFmtId="0" fontId="0" fillId="0" borderId="11" xfId="0" applyBorder="1"/>
    <xf numFmtId="164" fontId="7" fillId="6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11" xfId="0" applyBorder="1" applyAlignment="1">
      <alignment horizontal="center"/>
    </xf>
    <xf numFmtId="168" fontId="0" fillId="0" borderId="11" xfId="4" applyNumberFormat="1" applyFont="1" applyBorder="1" applyAlignment="1" applyProtection="1">
      <alignment horizontal="center"/>
    </xf>
    <xf numFmtId="168" fontId="0" fillId="0" borderId="0" xfId="4" applyNumberFormat="1" applyFont="1" applyBorder="1" applyAlignment="1" applyProtection="1">
      <alignment horizontal="center"/>
    </xf>
    <xf numFmtId="0" fontId="0" fillId="0" borderId="30" xfId="0" applyBorder="1"/>
    <xf numFmtId="164" fontId="4" fillId="0" borderId="10" xfId="0" applyNumberFormat="1" applyFont="1" applyBorder="1" applyAlignment="1">
      <alignment horizontal="center"/>
    </xf>
    <xf numFmtId="0" fontId="0" fillId="0" borderId="0" xfId="0" applyAlignment="1">
      <alignment horizontal="centerContinuous"/>
    </xf>
    <xf numFmtId="164" fontId="19" fillId="0" borderId="0" xfId="0" applyNumberFormat="1" applyFont="1" applyAlignment="1">
      <alignment horizontal="center" wrapText="1"/>
    </xf>
    <xf numFmtId="164" fontId="4" fillId="0" borderId="0" xfId="0" quotePrefix="1" applyNumberFormat="1" applyFont="1" applyAlignment="1">
      <alignment horizontal="center" wrapText="1"/>
    </xf>
    <xf numFmtId="167" fontId="1" fillId="0" borderId="0" xfId="0" applyNumberFormat="1" applyFont="1" applyAlignment="1">
      <alignment horizontal="right"/>
    </xf>
    <xf numFmtId="168" fontId="0" fillId="0" borderId="11" xfId="0" applyNumberFormat="1" applyBorder="1"/>
    <xf numFmtId="168" fontId="0" fillId="0" borderId="0" xfId="0" applyNumberFormat="1"/>
    <xf numFmtId="164" fontId="1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center"/>
    </xf>
    <xf numFmtId="0" fontId="3" fillId="0" borderId="0" xfId="0" applyFont="1" applyAlignment="1">
      <alignment horizontal="left"/>
    </xf>
    <xf numFmtId="164" fontId="20" fillId="0" borderId="0" xfId="0" quotePrefix="1" applyNumberFormat="1" applyFont="1" applyAlignment="1">
      <alignment horizontal="left"/>
    </xf>
    <xf numFmtId="0" fontId="0" fillId="0" borderId="0" xfId="0" quotePrefix="1" applyAlignment="1">
      <alignment horizontal="center"/>
    </xf>
    <xf numFmtId="164" fontId="6" fillId="0" borderId="0" xfId="0" applyNumberFormat="1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20" fillId="0" borderId="1" xfId="0" quotePrefix="1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0" fontId="1" fillId="0" borderId="1" xfId="4" quotePrefix="1" applyNumberFormat="1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0" xfId="0" applyBorder="1" applyAlignment="1">
      <alignment horizontal="center"/>
    </xf>
    <xf numFmtId="0" fontId="11" fillId="0" borderId="0" xfId="0" quotePrefix="1" applyFont="1" applyAlignment="1">
      <alignment horizontal="left"/>
    </xf>
    <xf numFmtId="10" fontId="0" fillId="0" borderId="0" xfId="4" applyNumberFormat="1" applyFont="1" applyAlignment="1" applyProtection="1">
      <alignment horizontal="center"/>
    </xf>
    <xf numFmtId="0" fontId="0" fillId="0" borderId="30" xfId="0" quotePrefix="1" applyBorder="1" applyAlignment="1">
      <alignment horizontal="right"/>
    </xf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164" fontId="3" fillId="0" borderId="24" xfId="0" applyNumberFormat="1" applyFont="1" applyBorder="1" applyAlignment="1">
      <alignment horizontal="right"/>
    </xf>
    <xf numFmtId="167" fontId="0" fillId="0" borderId="22" xfId="0" applyNumberFormat="1" applyBorder="1" applyAlignment="1">
      <alignment horizontal="center"/>
    </xf>
    <xf numFmtId="167" fontId="0" fillId="4" borderId="24" xfId="0" applyNumberFormat="1" applyFill="1" applyBorder="1" applyAlignment="1">
      <alignment horizontal="center"/>
    </xf>
    <xf numFmtId="167" fontId="0" fillId="0" borderId="3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3" fillId="0" borderId="26" xfId="0" applyNumberFormat="1" applyFont="1" applyBorder="1" applyAlignment="1">
      <alignment horizontal="right"/>
    </xf>
    <xf numFmtId="14" fontId="1" fillId="0" borderId="16" xfId="0" quotePrefix="1" applyNumberFormat="1" applyFont="1" applyBorder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30" xfId="0" applyNumberFormat="1" applyFont="1" applyBorder="1" applyAlignment="1">
      <alignment horizontal="right"/>
    </xf>
    <xf numFmtId="0" fontId="1" fillId="0" borderId="0" xfId="0" quotePrefix="1" applyFont="1" applyAlignment="1">
      <alignment horizontal="left"/>
    </xf>
    <xf numFmtId="166" fontId="1" fillId="0" borderId="0" xfId="1" applyNumberFormat="1" applyFont="1" applyFill="1" applyAlignment="1" applyProtection="1">
      <alignment horizontal="right"/>
    </xf>
    <xf numFmtId="166" fontId="1" fillId="0" borderId="0" xfId="1" quotePrefix="1" applyNumberFormat="1" applyFont="1" applyFill="1" applyAlignment="1" applyProtection="1">
      <alignment horizontal="left"/>
    </xf>
    <xf numFmtId="164" fontId="5" fillId="0" borderId="30" xfId="0" applyNumberFormat="1" applyFont="1" applyBorder="1" applyAlignment="1">
      <alignment horizontal="center"/>
    </xf>
    <xf numFmtId="14" fontId="0" fillId="0" borderId="16" xfId="0" quotePrefix="1" applyNumberFormat="1" applyBorder="1" applyAlignment="1">
      <alignment horizontal="left"/>
    </xf>
    <xf numFmtId="44" fontId="5" fillId="0" borderId="0" xfId="2" applyFont="1" applyAlignment="1" applyProtection="1">
      <alignment horizontal="center"/>
    </xf>
    <xf numFmtId="9" fontId="1" fillId="0" borderId="0" xfId="4" applyFont="1" applyAlignment="1" applyProtection="1">
      <alignment horizontal="center"/>
    </xf>
    <xf numFmtId="44" fontId="5" fillId="0" borderId="30" xfId="2" applyFont="1" applyBorder="1" applyAlignment="1" applyProtection="1">
      <alignment horizontal="center"/>
    </xf>
    <xf numFmtId="165" fontId="1" fillId="0" borderId="0" xfId="2" applyNumberFormat="1" applyFont="1" applyAlignment="1" applyProtection="1">
      <alignment horizontal="center"/>
    </xf>
    <xf numFmtId="0" fontId="4" fillId="0" borderId="0" xfId="0" quotePrefix="1" applyFont="1" applyAlignment="1">
      <alignment horizontal="center"/>
    </xf>
    <xf numFmtId="0" fontId="4" fillId="0" borderId="32" xfId="0" quotePrefix="1" applyFont="1" applyBorder="1" applyAlignment="1">
      <alignment horizontal="center"/>
    </xf>
    <xf numFmtId="164" fontId="4" fillId="0" borderId="21" xfId="0" quotePrefix="1" applyNumberFormat="1" applyFont="1" applyBorder="1" applyAlignment="1">
      <alignment horizontal="center" vertical="center" wrapText="1"/>
    </xf>
    <xf numFmtId="0" fontId="4" fillId="0" borderId="22" xfId="0" quotePrefix="1" applyFont="1" applyBorder="1" applyAlignment="1">
      <alignment horizontal="center" vertical="center" wrapText="1"/>
    </xf>
    <xf numFmtId="164" fontId="4" fillId="5" borderId="22" xfId="0" quotePrefix="1" applyNumberFormat="1" applyFont="1" applyFill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7" fontId="0" fillId="0" borderId="0" xfId="0" applyNumberFormat="1" applyAlignment="1">
      <alignment horizontal="center"/>
    </xf>
    <xf numFmtId="14" fontId="7" fillId="2" borderId="0" xfId="0" applyNumberFormat="1" applyFont="1" applyFill="1" applyAlignment="1">
      <alignment horizontal="left"/>
    </xf>
    <xf numFmtId="1" fontId="8" fillId="6" borderId="0" xfId="0" applyNumberFormat="1" applyFont="1" applyFill="1" applyAlignment="1">
      <alignment horizontal="center"/>
    </xf>
    <xf numFmtId="164" fontId="6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64" fontId="0" fillId="0" borderId="18" xfId="0" applyNumberFormat="1" applyBorder="1" applyAlignment="1">
      <alignment horizontal="right"/>
    </xf>
    <xf numFmtId="14" fontId="0" fillId="0" borderId="0" xfId="0" quotePrefix="1" applyNumberFormat="1" applyAlignment="1">
      <alignment horizontal="left"/>
    </xf>
    <xf numFmtId="164" fontId="6" fillId="0" borderId="8" xfId="0" applyNumberFormat="1" applyFont="1" applyBorder="1"/>
    <xf numFmtId="164" fontId="1" fillId="0" borderId="8" xfId="0" applyNumberFormat="1" applyFont="1" applyBorder="1" applyAlignment="1">
      <alignment horizontal="right"/>
    </xf>
    <xf numFmtId="164" fontId="0" fillId="0" borderId="8" xfId="0" applyNumberFormat="1" applyBorder="1"/>
    <xf numFmtId="164" fontId="1" fillId="0" borderId="8" xfId="0" applyNumberFormat="1" applyFont="1" applyBorder="1"/>
    <xf numFmtId="17" fontId="0" fillId="0" borderId="33" xfId="0" applyNumberFormat="1" applyBorder="1" applyAlignment="1">
      <alignment horizontal="center"/>
    </xf>
    <xf numFmtId="14" fontId="1" fillId="0" borderId="33" xfId="0" applyNumberFormat="1" applyFont="1" applyBorder="1"/>
    <xf numFmtId="14" fontId="7" fillId="2" borderId="33" xfId="0" applyNumberFormat="1" applyFont="1" applyFill="1" applyBorder="1" applyAlignment="1">
      <alignment horizontal="left"/>
    </xf>
    <xf numFmtId="0" fontId="0" fillId="0" borderId="33" xfId="0" applyBorder="1" applyAlignment="1">
      <alignment horizontal="center"/>
    </xf>
    <xf numFmtId="14" fontId="1" fillId="0" borderId="0" xfId="0" applyNumberFormat="1" applyFont="1"/>
    <xf numFmtId="0" fontId="0" fillId="0" borderId="33" xfId="0" applyBorder="1"/>
    <xf numFmtId="17" fontId="0" fillId="0" borderId="8" xfId="0" applyNumberFormat="1" applyBorder="1" applyAlignment="1">
      <alignment horizontal="center"/>
    </xf>
    <xf numFmtId="0" fontId="0" fillId="0" borderId="8" xfId="0" quotePrefix="1" applyBorder="1" applyAlignment="1">
      <alignment horizontal="left"/>
    </xf>
    <xf numFmtId="0" fontId="0" fillId="0" borderId="8" xfId="0" applyBorder="1"/>
    <xf numFmtId="14" fontId="1" fillId="0" borderId="8" xfId="0" applyNumberFormat="1" applyFont="1" applyBorder="1"/>
    <xf numFmtId="14" fontId="0" fillId="0" borderId="8" xfId="0" quotePrefix="1" applyNumberFormat="1" applyBorder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67" fontId="7" fillId="6" borderId="24" xfId="0" applyNumberFormat="1" applyFont="1" applyFill="1" applyBorder="1" applyAlignment="1">
      <alignment horizontal="center"/>
    </xf>
    <xf numFmtId="164" fontId="4" fillId="0" borderId="14" xfId="0" quotePrefix="1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left" vertical="center"/>
    </xf>
    <xf numFmtId="0" fontId="4" fillId="0" borderId="22" xfId="0" quotePrefix="1" applyFont="1" applyBorder="1" applyAlignment="1">
      <alignment horizontal="center" vertical="center"/>
    </xf>
    <xf numFmtId="14" fontId="7" fillId="6" borderId="0" xfId="3" applyNumberFormat="1" applyFont="1" applyFill="1"/>
    <xf numFmtId="14" fontId="7" fillId="2" borderId="8" xfId="3" applyNumberFormat="1" applyFont="1" applyFill="1" applyBorder="1"/>
    <xf numFmtId="14" fontId="7" fillId="6" borderId="8" xfId="3" applyNumberFormat="1" applyFont="1" applyFill="1" applyBorder="1"/>
    <xf numFmtId="10" fontId="24" fillId="0" borderId="0" xfId="4" quotePrefix="1" applyNumberFormat="1" applyFont="1" applyFill="1" applyBorder="1" applyAlignment="1" applyProtection="1">
      <alignment horizontal="left"/>
    </xf>
    <xf numFmtId="164" fontId="4" fillId="0" borderId="22" xfId="0" quotePrefix="1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43" fontId="0" fillId="0" borderId="0" xfId="1" applyFont="1" applyProtection="1"/>
    <xf numFmtId="1" fontId="8" fillId="6" borderId="8" xfId="0" applyNumberFormat="1" applyFont="1" applyFill="1" applyBorder="1" applyAlignment="1">
      <alignment horizontal="center"/>
    </xf>
    <xf numFmtId="164" fontId="0" fillId="0" borderId="26" xfId="0" applyNumberFormat="1" applyBorder="1" applyAlignment="1">
      <alignment horizontal="right"/>
    </xf>
    <xf numFmtId="0" fontId="3" fillId="0" borderId="46" xfId="0" quotePrefix="1" applyFont="1" applyBorder="1" applyAlignment="1">
      <alignment horizontal="center" vertical="center" wrapText="1"/>
    </xf>
    <xf numFmtId="0" fontId="21" fillId="6" borderId="30" xfId="0" applyFont="1" applyFill="1" applyBorder="1"/>
    <xf numFmtId="0" fontId="0" fillId="0" borderId="34" xfId="0" applyBorder="1"/>
    <xf numFmtId="0" fontId="0" fillId="0" borderId="35" xfId="0" applyBorder="1"/>
    <xf numFmtId="0" fontId="0" fillId="0" borderId="34" xfId="0" pivotButton="1" applyBorder="1"/>
    <xf numFmtId="0" fontId="0" fillId="0" borderId="36" xfId="0" applyBorder="1"/>
    <xf numFmtId="17" fontId="0" fillId="0" borderId="34" xfId="0" applyNumberFormat="1" applyBorder="1"/>
    <xf numFmtId="17" fontId="0" fillId="0" borderId="37" xfId="0" applyNumberFormat="1" applyBorder="1"/>
    <xf numFmtId="17" fontId="0" fillId="0" borderId="38" xfId="0" applyNumberFormat="1" applyBorder="1"/>
    <xf numFmtId="166" fontId="0" fillId="0" borderId="34" xfId="0" applyNumberFormat="1" applyBorder="1"/>
    <xf numFmtId="166" fontId="0" fillId="0" borderId="37" xfId="0" applyNumberFormat="1" applyBorder="1"/>
    <xf numFmtId="166" fontId="0" fillId="0" borderId="38" xfId="0" applyNumberFormat="1" applyBorder="1"/>
    <xf numFmtId="0" fontId="0" fillId="0" borderId="39" xfId="0" applyBorder="1"/>
    <xf numFmtId="0" fontId="0" fillId="0" borderId="40" xfId="0" applyBorder="1"/>
    <xf numFmtId="166" fontId="14" fillId="0" borderId="40" xfId="0" applyNumberFormat="1" applyFont="1" applyBorder="1"/>
    <xf numFmtId="166" fontId="14" fillId="0" borderId="0" xfId="0" applyNumberFormat="1" applyFont="1"/>
    <xf numFmtId="166" fontId="14" fillId="0" borderId="41" xfId="0" applyNumberFormat="1" applyFont="1" applyBorder="1"/>
    <xf numFmtId="166" fontId="0" fillId="0" borderId="40" xfId="0" applyNumberFormat="1" applyBorder="1"/>
    <xf numFmtId="166" fontId="0" fillId="0" borderId="41" xfId="0" applyNumberFormat="1" applyBorder="1"/>
    <xf numFmtId="166" fontId="14" fillId="0" borderId="34" xfId="0" applyNumberFormat="1" applyFont="1" applyBorder="1"/>
    <xf numFmtId="166" fontId="14" fillId="0" borderId="37" xfId="0" applyNumberFormat="1" applyFont="1" applyBorder="1"/>
    <xf numFmtId="166" fontId="14" fillId="0" borderId="38" xfId="0" applyNumberFormat="1" applyFont="1" applyBorder="1"/>
    <xf numFmtId="0" fontId="0" fillId="0" borderId="42" xfId="0" applyBorder="1"/>
    <xf numFmtId="0" fontId="0" fillId="0" borderId="43" xfId="0" applyBorder="1"/>
    <xf numFmtId="166" fontId="0" fillId="0" borderId="42" xfId="0" applyNumberFormat="1" applyBorder="1"/>
    <xf numFmtId="166" fontId="0" fillId="0" borderId="44" xfId="0" applyNumberFormat="1" applyBorder="1"/>
    <xf numFmtId="166" fontId="0" fillId="0" borderId="45" xfId="0" applyNumberFormat="1" applyBorder="1"/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Percent" xfId="4" builtinId="5"/>
  </cellStyles>
  <dxfs count="171"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166" formatCode="_(* #,##0_);_(* \(#,##0\);_(* &quot;-&quot;??_);_(@_)"/>
    </dxf>
    <dxf>
      <numFmt numFmtId="35" formatCode="_(* #,##0.00_);_(* \(#,##0.00\);_(* &quot;-&quot;??_);_(@_)"/>
    </dxf>
    <dxf>
      <numFmt numFmtId="2" formatCode="0.00"/>
    </dxf>
    <dxf>
      <numFmt numFmtId="2" formatCode="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</dxf>
    <dxf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175747" refreshedDate="46163.608493287036" createdVersion="6" refreshedVersion="8" recordCount="192" xr:uid="{00000000-000A-0000-FFFF-FFFFD6000000}">
  <cacheSource type="worksheet">
    <worksheetSource ref="B19:R211" sheet="Transactions"/>
  </cacheSource>
  <cacheFields count="17">
    <cacheField name="Serivce Month" numFmtId="17">
      <sharedItems containsSemiMixedTypes="0" containsNonDate="0" containsDate="1" containsString="0" minDate="2010-01-01T00:00:00" maxDate="2025-12-02T00:00:00" count="192"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d v="2024-01-01T00:00:00" u="1"/>
        <d v="2024-02-01T00:00:00" u="1"/>
        <d v="2024-03-01T00:00:00" u="1"/>
        <d v="2024-04-01T00:00:00" u="1"/>
        <d v="2024-05-01T00:00:00" u="1"/>
        <d v="2024-06-01T00:00:00" u="1"/>
        <d v="2024-07-01T00:00:00" u="1"/>
        <d v="2024-08-01T00:00:00" u="1"/>
        <d v="2024-09-01T00:00:00" u="1"/>
        <d v="2024-10-01T00:00:00" u="1"/>
        <d v="2024-11-01T00:00:00" u="1"/>
        <d v="2024-12-01T00:00:00" u="1"/>
        <d v="2023-01-01T00:00:00" u="1"/>
        <d v="2023-02-01T00:00:00" u="1"/>
        <d v="2023-03-01T00:00:00" u="1"/>
        <d v="2023-04-01T00:00:00" u="1"/>
        <d v="2023-05-01T00:00:00" u="1"/>
        <d v="2023-06-01T00:00:00" u="1"/>
        <d v="2023-07-01T00:00:00" u="1"/>
        <d v="2023-08-01T00:00:00" u="1"/>
        <d v="2023-09-01T00:00:00" u="1"/>
        <d v="2023-10-01T00:00:00" u="1"/>
        <d v="2023-11-01T00:00:00" u="1"/>
        <d v="2023-12-01T00:00:00" u="1"/>
        <d v="2022-01-01T00:00:00" u="1"/>
        <d v="2022-02-01T00:00:00" u="1"/>
        <d v="2022-03-01T00:00:00" u="1"/>
        <d v="2022-04-01T00:00:00" u="1"/>
        <d v="2022-05-01T00:00:00" u="1"/>
        <d v="2022-06-01T00:00:00" u="1"/>
        <d v="2022-07-01T00:00:00" u="1"/>
        <d v="2022-08-01T00:00:00" u="1"/>
        <d v="2022-09-01T00:00:00" u="1"/>
        <d v="2022-10-01T00:00:00" u="1"/>
        <d v="2022-11-01T00:00:00" u="1"/>
        <d v="2022-12-01T00:00:00" u="1"/>
        <d v="2013-05-01T00:00:00" u="1"/>
        <d v="2014-05-01T00:00:00" u="1"/>
        <d v="2015-05-01T00:00:00" u="1"/>
        <d v="2016-05-01T00:00:00" u="1"/>
        <d v="2017-05-01T00:00:00" u="1"/>
        <d v="2018-05-01T00:00:00" u="1"/>
        <d v="2019-05-01T00:00:00" u="1"/>
        <d v="2020-05-01T00:00:00" u="1"/>
        <d v="2010-11-01T00:00:00" u="1"/>
        <d v="2021-05-01T00:00:00" u="1"/>
        <d v="2011-11-01T00:00:00" u="1"/>
        <d v="2012-11-01T00:00:00" u="1"/>
        <d v="2013-11-01T00:00:00" u="1"/>
        <d v="2014-11-01T00:00:00" u="1"/>
        <d v="2015-11-01T00:00:00" u="1"/>
        <d v="2016-11-01T00:00:00" u="1"/>
        <d v="2017-11-01T00:00:00" u="1"/>
        <d v="2018-11-01T00:00:00" u="1"/>
        <d v="2019-11-01T00:00:00" u="1"/>
        <d v="2020-11-01T00:00:00" u="1"/>
        <d v="2021-11-01T00:00:00" u="1"/>
        <d v="2010-06-01T00:00:00" u="1"/>
        <d v="2011-06-01T00:00:00" u="1"/>
        <d v="2012-06-01T00:00:00" u="1"/>
        <d v="2013-06-01T00:00:00" u="1"/>
        <d v="2014-06-01T00:00:00" u="1"/>
        <d v="2015-06-01T00:00:00" u="1"/>
        <d v="2016-06-01T00:00:00" u="1"/>
        <d v="2017-06-01T00:00:00" u="1"/>
        <d v="2018-06-01T00:00:00" u="1"/>
        <d v="2019-06-01T00:00:00" u="1"/>
        <d v="2020-06-01T00:00:00" u="1"/>
        <d v="2010-12-01T00:00:00" u="1"/>
        <d v="2021-06-01T00:00:00" u="1"/>
        <d v="2011-12-01T00:00:00" u="1"/>
        <d v="2012-12-01T00:00:00" u="1"/>
        <d v="2013-12-01T00:00:00" u="1"/>
        <d v="2014-12-01T00:00:00" u="1"/>
        <d v="2015-12-01T00:00:00" u="1"/>
        <d v="2016-12-01T00:00:00" u="1"/>
        <d v="2017-12-01T00:00:00" u="1"/>
        <d v="2018-12-01T00:00:00" u="1"/>
        <d v="2019-12-01T00:00:00" u="1"/>
        <d v="2020-12-01T00:00:00" u="1"/>
        <d v="2021-12-01T00:00:00" u="1"/>
        <d v="2010-01-01T00:00:00" u="1"/>
        <d v="2011-01-01T00:00:00" u="1"/>
        <d v="2012-01-01T00:00:00" u="1"/>
        <d v="2013-01-01T00:00:00" u="1"/>
        <d v="2014-01-01T00:00:00" u="1"/>
        <d v="2015-01-01T00:00:00" u="1"/>
        <d v="2016-01-01T00:00:00" u="1"/>
        <d v="2017-01-01T00:00:00" u="1"/>
        <d v="2018-01-01T00:00:00" u="1"/>
        <d v="2019-01-01T00:00:00" u="1"/>
        <d v="2020-01-01T00:00:00" u="1"/>
        <d v="2010-07-01T00:00:00" u="1"/>
        <d v="2021-01-01T00:00:00" u="1"/>
        <d v="2011-07-01T00:00:00" u="1"/>
        <d v="2012-07-01T00:00:00" u="1"/>
        <d v="2013-07-01T00:00:00" u="1"/>
        <d v="2014-07-01T00:00:00" u="1"/>
        <d v="2015-07-01T00:00:00" u="1"/>
        <d v="2016-07-01T00:00:00" u="1"/>
        <d v="2017-07-01T00:00:00" u="1"/>
        <d v="2018-07-01T00:00:00" u="1"/>
        <d v="2019-07-01T00:00:00" u="1"/>
        <d v="2020-07-01T00:00:00" u="1"/>
        <d v="2021-07-01T00:00:00" u="1"/>
        <d v="2010-02-01T00:00:00" u="1"/>
        <d v="2011-02-01T00:00:00" u="1"/>
        <d v="2012-02-01T00:00:00" u="1"/>
        <d v="2013-02-01T00:00:00" u="1"/>
        <d v="2014-02-01T00:00:00" u="1"/>
        <d v="2015-02-01T00:00:00" u="1"/>
        <d v="2016-02-01T00:00:00" u="1"/>
        <d v="2017-02-01T00:00:00" u="1"/>
        <d v="2018-02-01T00:00:00" u="1"/>
        <d v="2019-02-01T00:00:00" u="1"/>
        <d v="2020-02-01T00:00:00" u="1"/>
        <d v="2010-08-01T00:00:00" u="1"/>
        <d v="2021-02-01T00:00:00" u="1"/>
        <d v="2011-08-01T00:00:00" u="1"/>
        <d v="2012-08-01T00:00:00" u="1"/>
        <d v="2013-08-01T00:00:00" u="1"/>
        <d v="2014-08-01T00:00:00" u="1"/>
        <d v="2015-08-01T00:00:00" u="1"/>
        <d v="2016-08-01T00:00:00" u="1"/>
        <d v="2017-08-01T00:00:00" u="1"/>
        <d v="2018-08-01T00:00:00" u="1"/>
        <d v="2019-08-01T00:00:00" u="1"/>
        <d v="2020-08-01T00:00:00" u="1"/>
        <d v="2021-08-01T00:00:00" u="1"/>
        <d v="2010-03-01T00:00:00" u="1"/>
        <d v="2011-03-01T00:00:00" u="1"/>
        <d v="2012-03-01T00:00:00" u="1"/>
        <d v="2013-03-01T00:00:00" u="1"/>
        <d v="2014-03-01T00:00:00" u="1"/>
        <d v="2015-03-01T00:00:00" u="1"/>
        <d v="2016-03-01T00:00:00" u="1"/>
        <d v="2017-03-01T00:00:00" u="1"/>
        <d v="2018-03-01T00:00:00" u="1"/>
        <d v="2019-03-01T00:00:00" u="1"/>
        <d v="2020-03-01T00:00:00" u="1"/>
        <d v="2010-09-01T00:00:00" u="1"/>
        <d v="2021-03-01T00:00:00" u="1"/>
        <d v="2011-09-01T00:00:00" u="1"/>
        <d v="2012-09-01T00:00:00" u="1"/>
        <d v="2013-09-01T00:00:00" u="1"/>
        <d v="2014-09-01T00:00:00" u="1"/>
        <d v="2015-09-01T00:00:00" u="1"/>
        <d v="2016-09-01T00:00:00" u="1"/>
        <d v="2017-09-01T00:00:00" u="1"/>
        <d v="2018-09-01T00:00:00" u="1"/>
        <d v="2019-09-01T00:00:00" u="1"/>
        <d v="2020-09-01T00:00:00" u="1"/>
        <d v="2021-09-01T00:00:00" u="1"/>
        <d v="2010-04-01T00:00:00" u="1"/>
        <d v="2011-04-01T00:00:00" u="1"/>
        <d v="2012-04-01T00:00:00" u="1"/>
        <d v="2013-04-01T00:00:00" u="1"/>
        <d v="2014-04-01T00:00:00" u="1"/>
        <d v="2015-04-01T00:00:00" u="1"/>
        <d v="2016-04-01T00:00:00" u="1"/>
        <d v="2017-04-01T00:00:00" u="1"/>
        <d v="2018-04-01T00:00:00" u="1"/>
        <d v="2019-04-01T00:00:00" u="1"/>
        <d v="2020-04-01T00:00:00" u="1"/>
        <d v="2010-10-01T00:00:00" u="1"/>
        <d v="2021-04-01T00:00:00" u="1"/>
        <d v="2011-10-01T00:00:00" u="1"/>
        <d v="2012-10-01T00:00:00" u="1"/>
        <d v="2013-10-01T00:00:00" u="1"/>
        <d v="2014-10-01T00:00:00" u="1"/>
        <d v="2015-10-01T00:00:00" u="1"/>
        <d v="2016-10-01T00:00:00" u="1"/>
        <d v="2017-10-01T00:00:00" u="1"/>
        <d v="2018-10-01T00:00:00" u="1"/>
        <d v="2019-10-01T00:00:00" u="1"/>
        <d v="2020-10-01T00:00:00" u="1"/>
        <d v="2021-10-01T00:00:00" u="1"/>
        <d v="2010-05-01T00:00:00" u="1"/>
        <d v="2011-05-01T00:00:00" u="1"/>
        <d v="2012-05-01T00:00:00" u="1"/>
      </sharedItems>
    </cacheField>
    <cacheField name="Billing_x000a_Date*" numFmtId="14">
      <sharedItems containsSemiMixedTypes="0" containsNonDate="0" containsDate="1" containsString="0" minDate="2025-02-05T00:00:00" maxDate="2026-01-07T00:00:00"/>
    </cacheField>
    <cacheField name="Payment Received*" numFmtId="14">
      <sharedItems containsSemiMixedTypes="0" containsNonDate="0" containsDate="1" containsString="0" minDate="2025-02-24T00:00:00" maxDate="2026-01-27T00:00:00"/>
    </cacheField>
    <cacheField name="Customer" numFmtId="0">
      <sharedItems count="22">
        <s v="PSO"/>
        <s v="SWEPCO"/>
        <s v="SWEPCO-Valley"/>
        <s v="AECC"/>
        <s v="AECI"/>
        <s v="WFEC"/>
        <s v="OMPA"/>
        <s v="OG&amp;E"/>
        <s v="ETEC"/>
        <s v="Greenbelt"/>
        <s v="Lighthouse"/>
        <s v="Bentonville, AR"/>
        <s v="Prescott, AR"/>
        <s v="Minden, LA"/>
        <s v="Hope, AR"/>
        <s v="Coffeyville, KS"/>
        <s v="Bentonville" u="1"/>
        <s v="Hope" u="1"/>
        <s v="NTEC" u="1"/>
        <s v="TEXLA" u="1"/>
        <s v="Prescott" u="1"/>
        <s v="Minden" u="1"/>
      </sharedItems>
    </cacheField>
    <cacheField name="Sched." numFmtId="0">
      <sharedItems containsSemiMixedTypes="0" containsString="0" containsNumber="1" containsInteger="1" minValue="9" maxValue="9"/>
    </cacheField>
    <cacheField name="MW" numFmtId="1">
      <sharedItems containsSemiMixedTypes="0" containsString="0" containsNumber="1" containsInteger="1" minValue="0" maxValue="4110"/>
    </cacheField>
    <cacheField name="Projected Rate (as Invoiced)" numFmtId="164">
      <sharedItems containsSemiMixedTypes="0" containsString="0" containsNumber="1" minValue="9.4686125004343911" maxValue="9.4686125004343911"/>
    </cacheField>
    <cacheField name="Actual True-Up Rate" numFmtId="164">
      <sharedItems containsSemiMixedTypes="0" containsString="0" containsNumber="1" minValue="10.334473961803646" maxValue="10.334473961803646"/>
    </cacheField>
    <cacheField name="True-Up Charge" numFmtId="164">
      <sharedItems containsSemiMixedTypes="0" containsString="0" containsNumber="1" minValue="0" maxValue="42474.687983012984"/>
    </cacheField>
    <cacheField name="Invoiced*** Charge (proj.)" numFmtId="164">
      <sharedItems containsSemiMixedTypes="0" containsString="0" containsNumber="1" minValue="0" maxValue="38915.997376785344"/>
    </cacheField>
    <cacheField name="True-Up w/o Interest" numFmtId="164">
      <sharedItems containsSemiMixedTypes="0" containsString="0" containsNumber="1" minValue="0" maxValue="3558.6906062276394"/>
    </cacheField>
    <cacheField name="Interest" numFmtId="164">
      <sharedItems containsSemiMixedTypes="0" containsString="0" containsNumber="1" minValue="0" maxValue="254.80746294121198"/>
    </cacheField>
    <cacheField name="2025 True Up Including Interest" numFmtId="164">
      <sharedItems containsSemiMixedTypes="0" containsString="0" containsNumber="1" minValue="0" maxValue="3813.4980691688515"/>
    </cacheField>
    <cacheField name="Tax Rebilling Rate" numFmtId="164">
      <sharedItems containsSemiMixedTypes="0" containsString="0" containsNumber="1" containsInteger="1" minValue="0" maxValue="0"/>
    </cacheField>
    <cacheField name="Tax True Up Billing" numFmtId="164">
      <sharedItems containsSemiMixedTypes="0" containsString="0" containsNumber="1" containsInteger="1" minValue="0" maxValue="0"/>
    </cacheField>
    <cacheField name="Tax True Up" numFmtId="164">
      <sharedItems containsSemiMixedTypes="0" containsString="0" containsNumber="1" containsInteger="1" minValue="0" maxValue="0"/>
    </cacheField>
    <cacheField name="Total True-up" numFmtId="164">
      <sharedItems containsSemiMixedTypes="0" containsString="0" containsNumber="1" minValue="0" maxValue="3813.49806916885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2">
  <r>
    <x v="0"/>
    <d v="2025-02-05T00:00:00"/>
    <d v="2025-02-24T00:00:00"/>
    <x v="0"/>
    <n v="9"/>
    <n v="2941"/>
    <n v="9.4686125004343911"/>
    <n v="10.334473961803646"/>
    <n v="30393.687921664521"/>
    <n v="27847.189363777543"/>
    <n v="2546.4985578869782"/>
    <n v="182.33302883457529"/>
    <n v="2728.8315867215533"/>
    <n v="0"/>
    <n v="0"/>
    <n v="0"/>
    <n v="2728.8315867215533"/>
  </r>
  <r>
    <x v="1"/>
    <d v="2025-03-05T00:00:00"/>
    <d v="2025-03-24T00:00:00"/>
    <x v="0"/>
    <n v="9"/>
    <n v="3221"/>
    <n v="9.4686125004343911"/>
    <n v="10.334473961803646"/>
    <n v="33287.340630969542"/>
    <n v="30498.400863899173"/>
    <n v="2788.9397670703693"/>
    <n v="199.69217472838048"/>
    <n v="2988.6319417987497"/>
    <n v="0"/>
    <n v="0"/>
    <n v="0"/>
    <n v="2988.6319417987497"/>
  </r>
  <r>
    <x v="2"/>
    <d v="2025-04-03T00:00:00"/>
    <d v="2025-04-24T00:00:00"/>
    <x v="0"/>
    <n v="9"/>
    <n v="2419"/>
    <n v="9.4686125004343911"/>
    <n v="10.334473961803646"/>
    <n v="24999.09251360302"/>
    <n v="22904.573638550792"/>
    <n v="2094.5188750522284"/>
    <n v="149.97062113255276"/>
    <n v="2244.4894961847813"/>
    <n v="0"/>
    <n v="0"/>
    <n v="0"/>
    <n v="2244.4894961847813"/>
  </r>
  <r>
    <x v="3"/>
    <d v="2025-05-05T00:00:00"/>
    <d v="2025-05-26T00:00:00"/>
    <x v="0"/>
    <n v="9"/>
    <n v="2717"/>
    <n v="9.4686125004343911"/>
    <n v="10.334473961803646"/>
    <n v="28078.765754220505"/>
    <n v="25726.220163680242"/>
    <n v="2352.5455905402632"/>
    <n v="168.44571211953112"/>
    <n v="2520.9913026597942"/>
    <n v="0"/>
    <n v="0"/>
    <n v="0"/>
    <n v="2520.9913026597942"/>
  </r>
  <r>
    <x v="4"/>
    <d v="2025-06-04T00:00:00"/>
    <d v="2025-06-24T00:00:00"/>
    <x v="0"/>
    <n v="9"/>
    <n v="3378"/>
    <n v="9.4686125004343911"/>
    <n v="10.334473961803646"/>
    <n v="34909.853042972718"/>
    <n v="31984.973026467374"/>
    <n v="2924.8800165053435"/>
    <n v="209.42569581883552"/>
    <n v="3134.3057123241792"/>
    <n v="0"/>
    <n v="0"/>
    <n v="0"/>
    <n v="3134.3057123241792"/>
  </r>
  <r>
    <x v="5"/>
    <d v="2025-07-03T00:00:00"/>
    <d v="2025-07-24T00:00:00"/>
    <x v="0"/>
    <n v="9"/>
    <n v="3824"/>
    <n v="9.4686125004343911"/>
    <n v="10.334473961803646"/>
    <n v="39519.028429937141"/>
    <n v="36207.974201661113"/>
    <n v="3311.0542282760289"/>
    <n v="237.07633534968238"/>
    <n v="3548.1305636257111"/>
    <n v="0"/>
    <n v="0"/>
    <n v="0"/>
    <n v="3548.1305636257111"/>
  </r>
  <r>
    <x v="6"/>
    <d v="2025-08-05T00:00:00"/>
    <d v="2025-08-25T00:00:00"/>
    <x v="0"/>
    <n v="9"/>
    <n v="4110"/>
    <n v="9.4686125004343911"/>
    <n v="10.334473961803646"/>
    <n v="42474.687983012984"/>
    <n v="38915.997376785344"/>
    <n v="3558.6906062276394"/>
    <n v="254.80746294121198"/>
    <n v="3813.4980691688515"/>
    <n v="0"/>
    <n v="0"/>
    <n v="0"/>
    <n v="3813.4980691688515"/>
  </r>
  <r>
    <x v="7"/>
    <d v="2025-09-04T00:00:00"/>
    <d v="2025-09-24T00:00:00"/>
    <x v="0"/>
    <n v="9"/>
    <n v="4096"/>
    <n v="9.4686125004343911"/>
    <n v="10.334473961803646"/>
    <n v="42330.005347547733"/>
    <n v="38783.436801779266"/>
    <n v="3546.5685457684667"/>
    <n v="253.9395056465217"/>
    <n v="3800.5080514149886"/>
    <n v="0"/>
    <n v="0"/>
    <n v="0"/>
    <n v="3800.5080514149886"/>
  </r>
  <r>
    <x v="8"/>
    <d v="2025-10-03T00:00:00"/>
    <d v="2025-10-24T00:00:00"/>
    <x v="0"/>
    <n v="9"/>
    <n v="3657"/>
    <n v="9.4686125004343911"/>
    <n v="10.334473961803646"/>
    <n v="37793.171278315931"/>
    <n v="34626.715914088571"/>
    <n v="3166.4553642273604"/>
    <n v="226.72284476301999"/>
    <n v="3393.1782089903804"/>
    <n v="0"/>
    <n v="0"/>
    <n v="0"/>
    <n v="3393.1782089903804"/>
  </r>
  <r>
    <x v="9"/>
    <d v="2025-11-05T00:00:00"/>
    <d v="2025-11-24T00:00:00"/>
    <x v="0"/>
    <n v="9"/>
    <n v="3261"/>
    <n v="9.4686125004343911"/>
    <n v="10.334473961803646"/>
    <n v="33700.719589441687"/>
    <n v="30877.145363916548"/>
    <n v="2823.5742255251389"/>
    <n v="202.17205271320981"/>
    <n v="3025.7462782383486"/>
    <n v="0"/>
    <n v="0"/>
    <n v="0"/>
    <n v="3025.7462782383486"/>
  </r>
  <r>
    <x v="10"/>
    <d v="2025-12-03T00:00:00"/>
    <d v="2025-12-24T00:00:00"/>
    <x v="0"/>
    <n v="9"/>
    <n v="2449"/>
    <n v="9.4686125004343911"/>
    <n v="10.334473961803646"/>
    <n v="25309.126732457127"/>
    <n v="23188.632013563823"/>
    <n v="2120.4947188933038"/>
    <n v="151.83052962117472"/>
    <n v="2272.3252485144785"/>
    <n v="0"/>
    <n v="0"/>
    <n v="0"/>
    <n v="2272.3252485144785"/>
  </r>
  <r>
    <x v="11"/>
    <d v="2026-01-06T00:00:00"/>
    <d v="2026-01-26T00:00:00"/>
    <x v="0"/>
    <n v="9"/>
    <n v="2817"/>
    <n v="9.4686125004343911"/>
    <n v="10.334473961803646"/>
    <n v="29112.213150400868"/>
    <n v="26673.081413723681"/>
    <n v="2439.1317366771873"/>
    <n v="174.64540708160442"/>
    <n v="2613.7771437587917"/>
    <n v="0"/>
    <n v="0"/>
    <n v="0"/>
    <n v="2613.7771437587917"/>
  </r>
  <r>
    <x v="0"/>
    <d v="2025-02-05T00:00:00"/>
    <d v="2025-02-24T00:00:00"/>
    <x v="1"/>
    <n v="9"/>
    <n v="3414"/>
    <n v="9.4686125004343911"/>
    <n v="10.334473961803646"/>
    <n v="35281.894105597647"/>
    <n v="32325.843076483012"/>
    <n v="2956.0510291146347"/>
    <n v="211.65758600518194"/>
    <n v="3167.7086151198168"/>
    <n v="0"/>
    <n v="0"/>
    <n v="0"/>
    <n v="3167.7086151198168"/>
  </r>
  <r>
    <x v="1"/>
    <d v="2025-03-05T00:00:00"/>
    <d v="2025-03-24T00:00:00"/>
    <x v="1"/>
    <n v="9"/>
    <n v="3330"/>
    <n v="9.4686125004343911"/>
    <n v="10.334473961803646"/>
    <n v="34413.798292806139"/>
    <n v="31530.479626446522"/>
    <n v="2883.3186663596171"/>
    <n v="206.44984223704037"/>
    <n v="3089.7685085966573"/>
    <n v="0"/>
    <n v="0"/>
    <n v="0"/>
    <n v="3089.7685085966573"/>
  </r>
  <r>
    <x v="2"/>
    <d v="2025-04-03T00:00:00"/>
    <d v="2025-04-24T00:00:00"/>
    <x v="1"/>
    <n v="9"/>
    <n v="2483"/>
    <n v="9.4686125004343911"/>
    <n v="10.334473961803646"/>
    <n v="25660.498847158451"/>
    <n v="23510.564838578593"/>
    <n v="2149.9340085798576"/>
    <n v="153.93842590827964"/>
    <n v="2303.8724344881371"/>
    <n v="0"/>
    <n v="0"/>
    <n v="0"/>
    <n v="2303.8724344881371"/>
  </r>
  <r>
    <x v="3"/>
    <d v="2025-05-05T00:00:00"/>
    <d v="2025-05-26T00:00:00"/>
    <x v="1"/>
    <n v="9"/>
    <n v="2549"/>
    <n v="9.4686125004343911"/>
    <n v="10.334473961803646"/>
    <n v="26342.574128637494"/>
    <n v="24135.493263607263"/>
    <n v="2207.0808650302315"/>
    <n v="158.03022458324801"/>
    <n v="2365.1110896134796"/>
    <n v="0"/>
    <n v="0"/>
    <n v="0"/>
    <n v="2365.1110896134796"/>
  </r>
  <r>
    <x v="4"/>
    <d v="2025-06-04T00:00:00"/>
    <d v="2025-06-24T00:00:00"/>
    <x v="1"/>
    <n v="9"/>
    <n v="3007"/>
    <n v="9.4686125004343911"/>
    <n v="10.334473961803646"/>
    <n v="31075.763203143564"/>
    <n v="28472.117788806216"/>
    <n v="2603.6454143373485"/>
    <n v="186.42482750954366"/>
    <n v="2790.0702418468923"/>
    <n v="0"/>
    <n v="0"/>
    <n v="0"/>
    <n v="2790.0702418468923"/>
  </r>
  <r>
    <x v="5"/>
    <d v="2025-07-03T00:00:00"/>
    <d v="2025-07-24T00:00:00"/>
    <x v="1"/>
    <n v="9"/>
    <n v="3377"/>
    <n v="9.4686125004343911"/>
    <n v="10.334473961803646"/>
    <n v="34899.518569010914"/>
    <n v="31975.504413966937"/>
    <n v="2924.0141550439766"/>
    <n v="209.3636988692148"/>
    <n v="3133.3778539131913"/>
    <n v="0"/>
    <n v="0"/>
    <n v="0"/>
    <n v="3133.3778539131913"/>
  </r>
  <r>
    <x v="6"/>
    <d v="2025-08-05T00:00:00"/>
    <d v="2025-08-25T00:00:00"/>
    <x v="1"/>
    <n v="9"/>
    <n v="3723"/>
    <n v="9.4686125004343911"/>
    <n v="10.334473961803646"/>
    <n v="38475.24655979497"/>
    <n v="35251.644339117236"/>
    <n v="3223.6022206777343"/>
    <n v="230.81464343798839"/>
    <n v="3454.4168641157225"/>
    <n v="0"/>
    <n v="0"/>
    <n v="0"/>
    <n v="3454.4168641157225"/>
  </r>
  <r>
    <x v="7"/>
    <d v="2025-09-04T00:00:00"/>
    <d v="2025-09-24T00:00:00"/>
    <x v="1"/>
    <n v="9"/>
    <n v="3715"/>
    <n v="9.4686125004343911"/>
    <n v="10.334473961803646"/>
    <n v="38392.570768100544"/>
    <n v="35175.895439113759"/>
    <n v="3216.6753289867847"/>
    <n v="230.31866784102252"/>
    <n v="3446.9939968278072"/>
    <n v="0"/>
    <n v="0"/>
    <n v="0"/>
    <n v="3446.9939968278072"/>
  </r>
  <r>
    <x v="8"/>
    <d v="2025-10-03T00:00:00"/>
    <d v="2025-10-24T00:00:00"/>
    <x v="1"/>
    <n v="9"/>
    <n v="3256"/>
    <n v="9.4686125004343911"/>
    <n v="10.334473961803646"/>
    <n v="33649.047219632674"/>
    <n v="30829.802301414376"/>
    <n v="2819.2449182182972"/>
    <n v="201.86206796510615"/>
    <n v="3021.1069861834035"/>
    <n v="0"/>
    <n v="0"/>
    <n v="0"/>
    <n v="3021.1069861834035"/>
  </r>
  <r>
    <x v="9"/>
    <d v="2025-11-05T00:00:00"/>
    <d v="2025-11-24T00:00:00"/>
    <x v="1"/>
    <n v="9"/>
    <n v="3014"/>
    <n v="9.4686125004343911"/>
    <n v="10.334473961803646"/>
    <n v="31148.104520876186"/>
    <n v="28538.398076309255"/>
    <n v="2609.7064445669312"/>
    <n v="186.85880615688879"/>
    <n v="2796.5652507238201"/>
    <n v="0"/>
    <n v="0"/>
    <n v="0"/>
    <n v="2796.5652507238201"/>
  </r>
  <r>
    <x v="10"/>
    <d v="2025-12-03T00:00:00"/>
    <d v="2025-12-24T00:00:00"/>
    <x v="1"/>
    <n v="9"/>
    <n v="2338"/>
    <n v="9.4686125004343911"/>
    <n v="10.334473961803646"/>
    <n v="24162.000122696925"/>
    <n v="22137.616026015607"/>
    <n v="2024.3840966813186"/>
    <n v="144.94886821327339"/>
    <n v="2169.3329648945919"/>
    <n v="0"/>
    <n v="0"/>
    <n v="0"/>
    <n v="2169.3329648945919"/>
  </r>
  <r>
    <x v="11"/>
    <d v="2026-01-06T00:00:00"/>
    <d v="2026-01-26T00:00:00"/>
    <x v="1"/>
    <n v="9"/>
    <n v="2969"/>
    <n v="9.4686125004343911"/>
    <n v="10.334473961803646"/>
    <n v="30683.053192595024"/>
    <n v="28112.310513789707"/>
    <n v="2570.7426788053162"/>
    <n v="184.06894342395583"/>
    <n v="2754.811622229272"/>
    <n v="0"/>
    <n v="0"/>
    <n v="0"/>
    <n v="2754.811622229272"/>
  </r>
  <r>
    <x v="0"/>
    <d v="2025-02-05T00:00:00"/>
    <d v="2025-02-24T00:00:00"/>
    <x v="2"/>
    <n v="9"/>
    <n v="211"/>
    <n v="9.4686125004343911"/>
    <n v="10.334473961803646"/>
    <n v="2180.5740059405694"/>
    <n v="1997.8772375916565"/>
    <n v="182.69676834891288"/>
    <n v="13.08135636997463"/>
    <n v="195.77812471888751"/>
    <n v="0"/>
    <n v="0"/>
    <n v="0"/>
    <n v="195.77812471888751"/>
  </r>
  <r>
    <x v="1"/>
    <d v="2025-03-05T00:00:00"/>
    <d v="2025-03-24T00:00:00"/>
    <x v="2"/>
    <n v="9"/>
    <n v="200"/>
    <n v="9.4686125004343911"/>
    <n v="10.334473961803646"/>
    <n v="2066.8947923607293"/>
    <n v="1893.7225000868782"/>
    <n v="173.1722922738511"/>
    <n v="12.399389924146568"/>
    <n v="185.57168219799766"/>
    <n v="0"/>
    <n v="0"/>
    <n v="0"/>
    <n v="185.57168219799766"/>
  </r>
  <r>
    <x v="2"/>
    <d v="2025-04-03T00:00:00"/>
    <d v="2025-04-24T00:00:00"/>
    <x v="2"/>
    <n v="9"/>
    <n v="122"/>
    <n v="9.4686125004343911"/>
    <n v="10.334473961803646"/>
    <n v="1260.8058233400448"/>
    <n v="1155.1707250529957"/>
    <n v="105.635098287049"/>
    <n v="7.5636278537294066"/>
    <n v="113.1987261407784"/>
    <n v="0"/>
    <n v="0"/>
    <n v="0"/>
    <n v="113.1987261407784"/>
  </r>
  <r>
    <x v="3"/>
    <d v="2025-05-05T00:00:00"/>
    <d v="2025-05-26T00:00:00"/>
    <x v="2"/>
    <n v="9"/>
    <n v="109"/>
    <n v="9.4686125004343911"/>
    <n v="10.334473961803646"/>
    <n v="1126.4576618365975"/>
    <n v="1032.0787625473486"/>
    <n v="94.37889928924892"/>
    <n v="6.7576675086598801"/>
    <n v="101.1365667979088"/>
    <n v="0"/>
    <n v="0"/>
    <n v="0"/>
    <n v="101.1365667979088"/>
  </r>
  <r>
    <x v="4"/>
    <d v="2025-06-04T00:00:00"/>
    <d v="2025-06-24T00:00:00"/>
    <x v="2"/>
    <n v="9"/>
    <n v="102"/>
    <n v="9.4686125004343911"/>
    <n v="10.334473961803646"/>
    <n v="1054.1163441039719"/>
    <n v="965.79847504430791"/>
    <n v="88.317869059663963"/>
    <n v="6.3236888613147499"/>
    <n v="94.641557920978713"/>
    <n v="0"/>
    <n v="0"/>
    <n v="0"/>
    <n v="94.641557920978713"/>
  </r>
  <r>
    <x v="5"/>
    <d v="2025-07-03T00:00:00"/>
    <d v="2025-07-24T00:00:00"/>
    <x v="2"/>
    <n v="9"/>
    <n v="131"/>
    <n v="9.4686125004343911"/>
    <n v="10.334473961803646"/>
    <n v="1353.8160889962776"/>
    <n v="1240.3882375569053"/>
    <n v="113.42785143937226"/>
    <n v="8.1216004003160016"/>
    <n v="121.54945183968826"/>
    <n v="0"/>
    <n v="0"/>
    <n v="0"/>
    <n v="121.54945183968826"/>
  </r>
  <r>
    <x v="6"/>
    <d v="2025-08-05T00:00:00"/>
    <d v="2025-08-25T00:00:00"/>
    <x v="2"/>
    <n v="9"/>
    <n v="146"/>
    <n v="9.4686125004343911"/>
    <n v="10.334473961803646"/>
    <n v="1508.8331984233323"/>
    <n v="1382.4174250634212"/>
    <n v="126.4157733599111"/>
    <n v="9.0515546446269948"/>
    <n v="135.4673280045381"/>
    <n v="0"/>
    <n v="0"/>
    <n v="0"/>
    <n v="135.4673280045381"/>
  </r>
  <r>
    <x v="7"/>
    <d v="2025-09-04T00:00:00"/>
    <d v="2025-09-24T00:00:00"/>
    <x v="2"/>
    <n v="9"/>
    <n v="149"/>
    <n v="9.4686125004343911"/>
    <n v="10.334473961803646"/>
    <n v="1539.8366203087432"/>
    <n v="1410.8232625647242"/>
    <n v="129.013357744019"/>
    <n v="9.2375454934891934"/>
    <n v="138.2509032375082"/>
    <n v="0"/>
    <n v="0"/>
    <n v="0"/>
    <n v="138.2509032375082"/>
  </r>
  <r>
    <x v="8"/>
    <d v="2025-10-03T00:00:00"/>
    <d v="2025-10-24T00:00:00"/>
    <x v="2"/>
    <n v="9"/>
    <n v="122"/>
    <n v="9.4686125004343911"/>
    <n v="10.334473961803646"/>
    <n v="1260.8058233400448"/>
    <n v="1155.1707250529957"/>
    <n v="105.635098287049"/>
    <n v="7.5636278537294066"/>
    <n v="113.1987261407784"/>
    <n v="0"/>
    <n v="0"/>
    <n v="0"/>
    <n v="113.1987261407784"/>
  </r>
  <r>
    <x v="9"/>
    <d v="2025-11-05T00:00:00"/>
    <d v="2025-11-24T00:00:00"/>
    <x v="2"/>
    <n v="9"/>
    <n v="117"/>
    <n v="9.4686125004343911"/>
    <n v="10.334473961803646"/>
    <n v="1209.1334535310266"/>
    <n v="1107.8276625508238"/>
    <n v="101.3057909802028"/>
    <n v="7.2536431056257431"/>
    <n v="108.55943408582854"/>
    <n v="0"/>
    <n v="0"/>
    <n v="0"/>
    <n v="108.55943408582854"/>
  </r>
  <r>
    <x v="10"/>
    <d v="2025-12-03T00:00:00"/>
    <d v="2025-12-24T00:00:00"/>
    <x v="2"/>
    <n v="9"/>
    <n v="118"/>
    <n v="9.4686125004343911"/>
    <n v="10.334473961803646"/>
    <n v="1219.4679274928301"/>
    <n v="1117.2962750512581"/>
    <n v="102.17165244157195"/>
    <n v="7.315640055246476"/>
    <n v="109.48729249681843"/>
    <n v="0"/>
    <n v="0"/>
    <n v="0"/>
    <n v="109.48729249681843"/>
  </r>
  <r>
    <x v="11"/>
    <d v="2026-01-06T00:00:00"/>
    <d v="2026-01-26T00:00:00"/>
    <x v="2"/>
    <n v="9"/>
    <n v="178"/>
    <n v="9.4686125004343911"/>
    <n v="10.334473961803646"/>
    <n v="1839.536365201049"/>
    <n v="1685.4130250773217"/>
    <n v="154.1233401237273"/>
    <n v="11.035457032490445"/>
    <n v="165.15879715621776"/>
    <n v="0"/>
    <n v="0"/>
    <n v="0"/>
    <n v="165.15879715621776"/>
  </r>
  <r>
    <x v="0"/>
    <d v="2025-02-05T00:00:00"/>
    <d v="2025-02-24T00:00:00"/>
    <x v="3"/>
    <n v="9"/>
    <n v="966"/>
    <n v="9.4686125004343911"/>
    <n v="10.334473961803646"/>
    <n v="9983.1018471023217"/>
    <n v="9146.6796754196221"/>
    <n v="836.42217168269963"/>
    <n v="59.889053333627928"/>
    <n v="896.31122501632751"/>
    <n v="0"/>
    <n v="0"/>
    <n v="0"/>
    <n v="896.31122501632751"/>
  </r>
  <r>
    <x v="1"/>
    <d v="2025-03-05T00:00:00"/>
    <d v="2025-03-24T00:00:00"/>
    <x v="3"/>
    <n v="9"/>
    <n v="1102"/>
    <n v="9.4686125004343911"/>
    <n v="10.334473961803646"/>
    <n v="11388.590305907617"/>
    <n v="10434.410975478699"/>
    <n v="954.17933042891855"/>
    <n v="68.320638482047585"/>
    <n v="1022.4999689109661"/>
    <n v="0"/>
    <n v="0"/>
    <n v="0"/>
    <n v="1022.4999689109661"/>
  </r>
  <r>
    <x v="2"/>
    <d v="2025-04-03T00:00:00"/>
    <d v="2025-04-24T00:00:00"/>
    <x v="3"/>
    <n v="9"/>
    <n v="715"/>
    <n v="9.4686125004343911"/>
    <n v="10.334473961803646"/>
    <n v="7389.1488826896066"/>
    <n v="6770.0579378105895"/>
    <n v="619.09094487901712"/>
    <n v="44.327818978823977"/>
    <n v="663.4187638578411"/>
    <n v="0"/>
    <n v="0"/>
    <n v="0"/>
    <n v="663.4187638578411"/>
  </r>
  <r>
    <x v="3"/>
    <d v="2025-05-05T00:00:00"/>
    <d v="2025-05-26T00:00:00"/>
    <x v="3"/>
    <n v="9"/>
    <n v="581"/>
    <n v="9.4686125004343911"/>
    <n v="10.334473961803646"/>
    <n v="6004.3293718079185"/>
    <n v="5501.2638627523811"/>
    <n v="503.0655090555374"/>
    <n v="36.020227729645782"/>
    <n v="539.08573678518314"/>
    <n v="0"/>
    <n v="0"/>
    <n v="0"/>
    <n v="539.08573678518314"/>
  </r>
  <r>
    <x v="4"/>
    <d v="2025-06-04T00:00:00"/>
    <d v="2025-06-24T00:00:00"/>
    <x v="3"/>
    <n v="9"/>
    <n v="781"/>
    <n v="9.4686125004343911"/>
    <n v="10.334473961803646"/>
    <n v="8071.2241641686469"/>
    <n v="7394.9863628392595"/>
    <n v="676.23780132938737"/>
    <n v="48.419617653792351"/>
    <n v="724.6574189831797"/>
    <n v="0"/>
    <n v="0"/>
    <n v="0"/>
    <n v="724.6574189831797"/>
  </r>
  <r>
    <x v="5"/>
    <d v="2025-07-03T00:00:00"/>
    <d v="2025-07-24T00:00:00"/>
    <x v="3"/>
    <n v="9"/>
    <n v="896"/>
    <n v="9.4686125004343911"/>
    <n v="10.334473961803646"/>
    <n v="9259.6886697760674"/>
    <n v="8483.8768003892146"/>
    <n v="775.81186938685278"/>
    <n v="55.549266860176623"/>
    <n v="831.36113624702944"/>
    <n v="0"/>
    <n v="0"/>
    <n v="0"/>
    <n v="831.36113624702944"/>
  </r>
  <r>
    <x v="6"/>
    <d v="2025-08-05T00:00:00"/>
    <d v="2025-08-25T00:00:00"/>
    <x v="3"/>
    <n v="9"/>
    <n v="1028"/>
    <n v="9.4686125004343911"/>
    <n v="10.334473961803646"/>
    <n v="10623.839232734148"/>
    <n v="9733.7336504465547"/>
    <n v="890.10558228759328"/>
    <n v="63.732864210113362"/>
    <n v="953.83844649770663"/>
    <n v="0"/>
    <n v="0"/>
    <n v="0"/>
    <n v="953.83844649770663"/>
  </r>
  <r>
    <x v="7"/>
    <d v="2025-09-04T00:00:00"/>
    <d v="2025-09-24T00:00:00"/>
    <x v="3"/>
    <n v="9"/>
    <n v="1055"/>
    <n v="9.4686125004343911"/>
    <n v="10.334473961803646"/>
    <n v="10902.870029702846"/>
    <n v="9989.3861879582819"/>
    <n v="913.48384174456442"/>
    <n v="65.406781849873155"/>
    <n v="978.89062359443756"/>
    <n v="0"/>
    <n v="0"/>
    <n v="0"/>
    <n v="978.89062359443756"/>
  </r>
  <r>
    <x v="8"/>
    <d v="2025-10-03T00:00:00"/>
    <d v="2025-10-24T00:00:00"/>
    <x v="3"/>
    <n v="9"/>
    <n v="815"/>
    <n v="9.4686125004343911"/>
    <n v="10.334473961803646"/>
    <n v="8422.5962788699708"/>
    <n v="7716.9191878540287"/>
    <n v="705.6770910159421"/>
    <n v="50.527513940897265"/>
    <n v="756.20460495683938"/>
    <n v="0"/>
    <n v="0"/>
    <n v="0"/>
    <n v="756.20460495683938"/>
  </r>
  <r>
    <x v="9"/>
    <d v="2025-11-05T00:00:00"/>
    <d v="2025-11-24T00:00:00"/>
    <x v="3"/>
    <n v="9"/>
    <n v="738"/>
    <n v="9.4686125004343911"/>
    <n v="10.334473961803646"/>
    <n v="7626.8417838110909"/>
    <n v="6987.836025320581"/>
    <n v="639.00575849050983"/>
    <n v="45.753748820100839"/>
    <n v="684.75950731061062"/>
    <n v="0"/>
    <n v="0"/>
    <n v="0"/>
    <n v="684.75950731061062"/>
  </r>
  <r>
    <x v="10"/>
    <d v="2025-12-03T00:00:00"/>
    <d v="2025-12-24T00:00:00"/>
    <x v="3"/>
    <n v="9"/>
    <n v="706"/>
    <n v="9.4686125004343911"/>
    <n v="10.334473961803646"/>
    <n v="7296.1386170333735"/>
    <n v="6684.8404253066801"/>
    <n v="611.2981917266934"/>
    <n v="43.769846432237387"/>
    <n v="655.06803815893079"/>
    <n v="0"/>
    <n v="0"/>
    <n v="0"/>
    <n v="655.06803815893079"/>
  </r>
  <r>
    <x v="11"/>
    <d v="2026-01-06T00:00:00"/>
    <d v="2026-01-26T00:00:00"/>
    <x v="3"/>
    <n v="9"/>
    <n v="863"/>
    <n v="9.4686125004343911"/>
    <n v="10.334473961803646"/>
    <n v="8918.6510290365459"/>
    <n v="8171.4125878748791"/>
    <n v="747.23844116166674"/>
    <n v="53.503367522692436"/>
    <n v="800.74180868435917"/>
    <n v="0"/>
    <n v="0"/>
    <n v="0"/>
    <n v="800.74180868435917"/>
  </r>
  <r>
    <x v="0"/>
    <d v="2025-02-05T00:00:00"/>
    <d v="2025-02-24T00:00:00"/>
    <x v="4"/>
    <n v="9"/>
    <n v="47"/>
    <n v="9.4686125004343911"/>
    <n v="10.334473961803646"/>
    <n v="485.72027620477132"/>
    <n v="445.0247875204164"/>
    <n v="40.695488684354927"/>
    <n v="2.9138566321744435"/>
    <n v="43.609345316529371"/>
    <n v="0"/>
    <n v="0"/>
    <n v="0"/>
    <n v="43.609345316529371"/>
  </r>
  <r>
    <x v="1"/>
    <d v="2025-03-05T00:00:00"/>
    <d v="2025-03-24T00:00:00"/>
    <x v="4"/>
    <n v="9"/>
    <n v="57"/>
    <n v="9.4686125004343911"/>
    <n v="10.334473961803646"/>
    <n v="589.06501582280782"/>
    <n v="539.71091252476026"/>
    <n v="49.354103298047562"/>
    <n v="3.5338261283817718"/>
    <n v="52.887929426429331"/>
    <n v="0"/>
    <n v="0"/>
    <n v="0"/>
    <n v="52.887929426429331"/>
  </r>
  <r>
    <x v="2"/>
    <d v="2025-04-03T00:00:00"/>
    <d v="2025-04-24T00:00:00"/>
    <x v="4"/>
    <n v="9"/>
    <n v="34"/>
    <n v="9.4686125004343911"/>
    <n v="10.334473961803646"/>
    <n v="351.37211470132394"/>
    <n v="321.93282501476932"/>
    <n v="29.439289686554616"/>
    <n v="2.1078962871049165"/>
    <n v="31.547185973659534"/>
    <n v="0"/>
    <n v="0"/>
    <n v="0"/>
    <n v="31.547185973659534"/>
  </r>
  <r>
    <x v="3"/>
    <d v="2025-05-05T00:00:00"/>
    <d v="2025-05-26T00:00:00"/>
    <x v="4"/>
    <n v="9"/>
    <n v="27"/>
    <n v="9.4686125004343911"/>
    <n v="10.334473961803646"/>
    <n v="279.03079696869844"/>
    <n v="255.65253751172855"/>
    <n v="23.378259456969886"/>
    <n v="1.6739176397597868"/>
    <n v="25.052177096729672"/>
    <n v="0"/>
    <n v="0"/>
    <n v="0"/>
    <n v="25.052177096729672"/>
  </r>
  <r>
    <x v="4"/>
    <d v="2025-06-04T00:00:00"/>
    <d v="2025-06-24T00:00:00"/>
    <x v="4"/>
    <n v="9"/>
    <n v="40"/>
    <n v="9.4686125004343911"/>
    <n v="10.334473961803646"/>
    <n v="413.37895847214583"/>
    <n v="378.74450001737563"/>
    <n v="34.634458454770197"/>
    <n v="2.4798779848293133"/>
    <n v="37.114336439599512"/>
    <n v="0"/>
    <n v="0"/>
    <n v="0"/>
    <n v="37.114336439599512"/>
  </r>
  <r>
    <x v="5"/>
    <d v="2025-07-03T00:00:00"/>
    <d v="2025-07-24T00:00:00"/>
    <x v="4"/>
    <n v="9"/>
    <n v="46"/>
    <n v="9.4686125004343911"/>
    <n v="10.334473961803646"/>
    <n v="475.38580224296771"/>
    <n v="435.55617501998199"/>
    <n v="39.829627222985721"/>
    <n v="2.851859682553711"/>
    <n v="42.68148690553943"/>
    <n v="0"/>
    <n v="0"/>
    <n v="0"/>
    <n v="42.68148690553943"/>
  </r>
  <r>
    <x v="6"/>
    <d v="2025-08-05T00:00:00"/>
    <d v="2025-08-25T00:00:00"/>
    <x v="4"/>
    <n v="9"/>
    <n v="55"/>
    <n v="9.4686125004343911"/>
    <n v="10.334473961803646"/>
    <n v="568.39606789920049"/>
    <n v="520.77368752389145"/>
    <n v="47.622380375309035"/>
    <n v="3.4098322291403065"/>
    <n v="51.032212604449342"/>
    <n v="0"/>
    <n v="0"/>
    <n v="0"/>
    <n v="51.032212604449342"/>
  </r>
  <r>
    <x v="7"/>
    <d v="2025-09-04T00:00:00"/>
    <d v="2025-09-24T00:00:00"/>
    <x v="4"/>
    <n v="9"/>
    <n v="55"/>
    <n v="9.4686125004343911"/>
    <n v="10.334473961803646"/>
    <n v="568.39606789920049"/>
    <n v="520.77368752389145"/>
    <n v="47.622380375309035"/>
    <n v="3.4098322291403065"/>
    <n v="51.032212604449342"/>
    <n v="0"/>
    <n v="0"/>
    <n v="0"/>
    <n v="51.032212604449342"/>
  </r>
  <r>
    <x v="8"/>
    <d v="2025-10-03T00:00:00"/>
    <d v="2025-10-24T00:00:00"/>
    <x v="4"/>
    <n v="9"/>
    <n v="44"/>
    <n v="9.4686125004343911"/>
    <n v="10.334473961803646"/>
    <n v="454.71685431936044"/>
    <n v="416.61895001911319"/>
    <n v="38.097904300247251"/>
    <n v="2.7278657833122453"/>
    <n v="40.825770083559497"/>
    <n v="0"/>
    <n v="0"/>
    <n v="0"/>
    <n v="40.825770083559497"/>
  </r>
  <r>
    <x v="9"/>
    <d v="2025-11-05T00:00:00"/>
    <d v="2025-11-24T00:00:00"/>
    <x v="4"/>
    <n v="9"/>
    <n v="34"/>
    <n v="9.4686125004343911"/>
    <n v="10.334473961803646"/>
    <n v="351.37211470132394"/>
    <n v="321.93282501476932"/>
    <n v="29.439289686554616"/>
    <n v="2.1078962871049165"/>
    <n v="31.547185973659534"/>
    <n v="0"/>
    <n v="0"/>
    <n v="0"/>
    <n v="31.547185973659534"/>
  </r>
  <r>
    <x v="10"/>
    <d v="2025-12-03T00:00:00"/>
    <d v="2025-12-24T00:00:00"/>
    <x v="4"/>
    <n v="9"/>
    <n v="35"/>
    <n v="9.4686125004343911"/>
    <n v="10.334473961803646"/>
    <n v="361.7065886631276"/>
    <n v="331.40143751520367"/>
    <n v="30.305151147923937"/>
    <n v="2.1698932367256494"/>
    <n v="32.475044384649586"/>
    <n v="0"/>
    <n v="0"/>
    <n v="0"/>
    <n v="32.475044384649586"/>
  </r>
  <r>
    <x v="11"/>
    <d v="2026-01-06T00:00:00"/>
    <d v="2026-01-26T00:00:00"/>
    <x v="4"/>
    <n v="9"/>
    <n v="39"/>
    <n v="9.4686125004343911"/>
    <n v="10.334473961803646"/>
    <n v="403.04448451034216"/>
    <n v="369.27588751694122"/>
    <n v="33.768596993400934"/>
    <n v="2.4178810352085809"/>
    <n v="36.186478028609514"/>
    <n v="0"/>
    <n v="0"/>
    <n v="0"/>
    <n v="36.186478028609514"/>
  </r>
  <r>
    <x v="0"/>
    <d v="2025-02-05T00:00:00"/>
    <d v="2025-02-24T00:00:00"/>
    <x v="5"/>
    <n v="9"/>
    <n v="67"/>
    <n v="9.4686125004343911"/>
    <n v="10.334473961803646"/>
    <n v="692.40975544084426"/>
    <n v="634.39703752910418"/>
    <n v="58.012717911740083"/>
    <n v="4.153795624589101"/>
    <n v="62.166513536329184"/>
    <n v="0"/>
    <n v="0"/>
    <n v="0"/>
    <n v="62.166513536329184"/>
  </r>
  <r>
    <x v="1"/>
    <d v="2025-03-05T00:00:00"/>
    <d v="2025-03-24T00:00:00"/>
    <x v="5"/>
    <n v="9"/>
    <n v="71"/>
    <n v="9.4686125004343911"/>
    <n v="10.334473961803646"/>
    <n v="733.74765128805882"/>
    <n v="672.2714875308418"/>
    <n v="61.476163757217023"/>
    <n v="4.4017834230720316"/>
    <n v="65.877947180289055"/>
    <n v="0"/>
    <n v="0"/>
    <n v="0"/>
    <n v="65.877947180289055"/>
  </r>
  <r>
    <x v="2"/>
    <d v="2025-04-03T00:00:00"/>
    <d v="2025-04-24T00:00:00"/>
    <x v="5"/>
    <n v="9"/>
    <n v="49"/>
    <n v="9.4686125004343911"/>
    <n v="10.334473961803646"/>
    <n v="506.38922412837866"/>
    <n v="463.96201252128515"/>
    <n v="42.427211607093511"/>
    <n v="3.0378505314159092"/>
    <n v="45.465062138509424"/>
    <n v="0"/>
    <n v="0"/>
    <n v="0"/>
    <n v="45.465062138509424"/>
  </r>
  <r>
    <x v="3"/>
    <d v="2025-05-05T00:00:00"/>
    <d v="2025-05-26T00:00:00"/>
    <x v="5"/>
    <n v="9"/>
    <n v="37"/>
    <n v="9.4686125004343911"/>
    <n v="10.334473961803646"/>
    <n v="382.37553658673488"/>
    <n v="350.33866251607247"/>
    <n v="32.036874070662407"/>
    <n v="2.2938871359671151"/>
    <n v="34.330761206629525"/>
    <n v="0"/>
    <n v="0"/>
    <n v="0"/>
    <n v="34.330761206629525"/>
  </r>
  <r>
    <x v="4"/>
    <d v="2025-06-04T00:00:00"/>
    <d v="2025-06-24T00:00:00"/>
    <x v="5"/>
    <n v="9"/>
    <n v="50"/>
    <n v="9.4686125004343911"/>
    <n v="10.334473961803646"/>
    <n v="516.72369809018232"/>
    <n v="473.43062502171955"/>
    <n v="43.293073068462775"/>
    <n v="3.0998474810366421"/>
    <n v="46.392920549499415"/>
    <n v="0"/>
    <n v="0"/>
    <n v="0"/>
    <n v="46.392920549499415"/>
  </r>
  <r>
    <x v="5"/>
    <d v="2025-07-03T00:00:00"/>
    <d v="2025-07-24T00:00:00"/>
    <x v="5"/>
    <n v="9"/>
    <n v="54"/>
    <n v="9.4686125004343911"/>
    <n v="10.334473961803646"/>
    <n v="558.06159393739688"/>
    <n v="511.30507502345711"/>
    <n v="46.756518913939772"/>
    <n v="3.3478352795195736"/>
    <n v="50.104354193459343"/>
    <n v="0"/>
    <n v="0"/>
    <n v="0"/>
    <n v="50.104354193459343"/>
  </r>
  <r>
    <x v="6"/>
    <d v="2025-08-05T00:00:00"/>
    <d v="2025-08-25T00:00:00"/>
    <x v="5"/>
    <n v="9"/>
    <n v="62"/>
    <n v="9.4686125004343911"/>
    <n v="10.334473961803646"/>
    <n v="640.73738563182599"/>
    <n v="587.05397502693222"/>
    <n v="53.683410604893766"/>
    <n v="3.8438108764854362"/>
    <n v="57.5272214813792"/>
    <n v="0"/>
    <n v="0"/>
    <n v="0"/>
    <n v="57.5272214813792"/>
  </r>
  <r>
    <x v="7"/>
    <d v="2025-09-04T00:00:00"/>
    <d v="2025-09-24T00:00:00"/>
    <x v="5"/>
    <n v="9"/>
    <n v="55"/>
    <n v="9.4686125004343911"/>
    <n v="10.334473961803646"/>
    <n v="568.39606789920049"/>
    <n v="520.77368752389145"/>
    <n v="47.622380375309035"/>
    <n v="3.4098322291403065"/>
    <n v="51.032212604449342"/>
    <n v="0"/>
    <n v="0"/>
    <n v="0"/>
    <n v="51.032212604449342"/>
  </r>
  <r>
    <x v="8"/>
    <d v="2025-10-03T00:00:00"/>
    <d v="2025-10-24T00:00:00"/>
    <x v="5"/>
    <n v="9"/>
    <n v="50"/>
    <n v="9.4686125004343911"/>
    <n v="10.334473961803646"/>
    <n v="516.72369809018232"/>
    <n v="473.43062502171955"/>
    <n v="43.293073068462775"/>
    <n v="3.0998474810366421"/>
    <n v="46.392920549499415"/>
    <n v="0"/>
    <n v="0"/>
    <n v="0"/>
    <n v="46.392920549499415"/>
  </r>
  <r>
    <x v="9"/>
    <d v="2025-11-05T00:00:00"/>
    <d v="2025-11-24T00:00:00"/>
    <x v="5"/>
    <n v="9"/>
    <n v="47"/>
    <n v="9.4686125004343911"/>
    <n v="10.334473961803646"/>
    <n v="485.72027620477132"/>
    <n v="445.0247875204164"/>
    <n v="40.695488684354927"/>
    <n v="2.9138566321744435"/>
    <n v="43.609345316529371"/>
    <n v="0"/>
    <n v="0"/>
    <n v="0"/>
    <n v="43.609345316529371"/>
  </r>
  <r>
    <x v="10"/>
    <d v="2025-12-03T00:00:00"/>
    <d v="2025-12-24T00:00:00"/>
    <x v="5"/>
    <n v="9"/>
    <n v="48"/>
    <n v="9.4686125004343911"/>
    <n v="10.334473961803646"/>
    <n v="496.05475016657499"/>
    <n v="454.4934000208508"/>
    <n v="41.561350145724191"/>
    <n v="2.9758535817951768"/>
    <n v="44.537203727519369"/>
    <n v="0"/>
    <n v="0"/>
    <n v="0"/>
    <n v="44.537203727519369"/>
  </r>
  <r>
    <x v="11"/>
    <d v="2026-01-06T00:00:00"/>
    <d v="2026-01-26T00:00:00"/>
    <x v="5"/>
    <n v="9"/>
    <n v="58"/>
    <n v="9.4686125004343911"/>
    <n v="10.334473961803646"/>
    <n v="599.39948978461143"/>
    <n v="549.17952502519472"/>
    <n v="50.219964759416712"/>
    <n v="3.5958230780025051"/>
    <n v="53.815787837419215"/>
    <n v="0"/>
    <n v="0"/>
    <n v="0"/>
    <n v="53.815787837419215"/>
  </r>
  <r>
    <x v="0"/>
    <d v="2025-02-05T00:00:00"/>
    <d v="2025-02-24T00:00:00"/>
    <x v="6"/>
    <n v="9"/>
    <n v="89"/>
    <n v="9.4686125004343911"/>
    <n v="10.334473961803646"/>
    <n v="919.76818260052448"/>
    <n v="842.70651253866083"/>
    <n v="77.061670061863651"/>
    <n v="5.5177285162452225"/>
    <n v="82.579398578108879"/>
    <n v="0"/>
    <n v="0"/>
    <n v="0"/>
    <n v="82.579398578108879"/>
  </r>
  <r>
    <x v="1"/>
    <d v="2025-03-05T00:00:00"/>
    <d v="2025-03-24T00:00:00"/>
    <x v="6"/>
    <n v="9"/>
    <n v="102"/>
    <n v="9.4686125004343911"/>
    <n v="10.334473961803646"/>
    <n v="1054.1163441039719"/>
    <n v="965.79847504430791"/>
    <n v="88.317869059663963"/>
    <n v="6.3236888613147499"/>
    <n v="94.641557920978713"/>
    <n v="0"/>
    <n v="0"/>
    <n v="0"/>
    <n v="94.641557920978713"/>
  </r>
  <r>
    <x v="2"/>
    <d v="2025-04-03T00:00:00"/>
    <d v="2025-04-24T00:00:00"/>
    <x v="6"/>
    <n v="9"/>
    <n v="64"/>
    <n v="9.4686125004343911"/>
    <n v="10.334473961803646"/>
    <n v="661.40633355543332"/>
    <n v="605.99120002780103"/>
    <n v="55.415133527632292"/>
    <n v="3.9678047757269015"/>
    <n v="59.382938303359197"/>
    <n v="0"/>
    <n v="0"/>
    <n v="0"/>
    <n v="59.382938303359197"/>
  </r>
  <r>
    <x v="3"/>
    <d v="2025-05-05T00:00:00"/>
    <d v="2025-05-26T00:00:00"/>
    <x v="6"/>
    <n v="9"/>
    <n v="71"/>
    <n v="9.4686125004343911"/>
    <n v="10.334473961803646"/>
    <n v="733.74765128805882"/>
    <n v="672.2714875308418"/>
    <n v="61.476163757217023"/>
    <n v="4.4017834230720316"/>
    <n v="65.877947180289055"/>
    <n v="0"/>
    <n v="0"/>
    <n v="0"/>
    <n v="65.877947180289055"/>
  </r>
  <r>
    <x v="4"/>
    <d v="2025-06-04T00:00:00"/>
    <d v="2025-06-24T00:00:00"/>
    <x v="6"/>
    <n v="9"/>
    <n v="108"/>
    <n v="9.4686125004343911"/>
    <n v="10.334473961803646"/>
    <n v="1116.1231878747938"/>
    <n v="1022.6101500469142"/>
    <n v="93.513037827879543"/>
    <n v="6.6956705590391472"/>
    <n v="100.20870838691869"/>
    <n v="0"/>
    <n v="0"/>
    <n v="0"/>
    <n v="100.20870838691869"/>
  </r>
  <r>
    <x v="5"/>
    <d v="2025-07-03T00:00:00"/>
    <d v="2025-07-24T00:00:00"/>
    <x v="6"/>
    <n v="9"/>
    <n v="130"/>
    <n v="9.4686125004343911"/>
    <n v="10.334473961803646"/>
    <n v="1343.4816150344739"/>
    <n v="1230.9196250564707"/>
    <n v="112.56198997800311"/>
    <n v="8.0596034506952687"/>
    <n v="120.62159342869838"/>
    <n v="0"/>
    <n v="0"/>
    <n v="0"/>
    <n v="120.62159342869838"/>
  </r>
  <r>
    <x v="6"/>
    <d v="2025-08-05T00:00:00"/>
    <d v="2025-08-25T00:00:00"/>
    <x v="6"/>
    <n v="9"/>
    <n v="151"/>
    <n v="9.4686125004343911"/>
    <n v="10.334473961803646"/>
    <n v="1560.5055682323505"/>
    <n v="1429.7604875655929"/>
    <n v="130.74508066675753"/>
    <n v="9.3615393927306592"/>
    <n v="140.10662005948819"/>
    <n v="0"/>
    <n v="0"/>
    <n v="0"/>
    <n v="140.10662005948819"/>
  </r>
  <r>
    <x v="7"/>
    <d v="2025-09-04T00:00:00"/>
    <d v="2025-09-24T00:00:00"/>
    <x v="6"/>
    <n v="9"/>
    <n v="145"/>
    <n v="9.4686125004343911"/>
    <n v="10.334473961803646"/>
    <n v="1498.4987244615286"/>
    <n v="1372.9488125629866"/>
    <n v="125.54991189854195"/>
    <n v="8.9895576950062619"/>
    <n v="134.5394695935482"/>
    <n v="0"/>
    <n v="0"/>
    <n v="0"/>
    <n v="134.5394695935482"/>
  </r>
  <r>
    <x v="8"/>
    <d v="2025-10-03T00:00:00"/>
    <d v="2025-10-24T00:00:00"/>
    <x v="6"/>
    <n v="9"/>
    <n v="126"/>
    <n v="9.4686125004343911"/>
    <n v="10.334473961803646"/>
    <n v="1302.1437191872594"/>
    <n v="1193.0451750547334"/>
    <n v="109.09854413252606"/>
    <n v="7.811615652212339"/>
    <n v="116.9101597847384"/>
    <n v="0"/>
    <n v="0"/>
    <n v="0"/>
    <n v="116.9101597847384"/>
  </r>
  <r>
    <x v="9"/>
    <d v="2025-11-05T00:00:00"/>
    <d v="2025-11-24T00:00:00"/>
    <x v="6"/>
    <n v="9"/>
    <n v="106"/>
    <n v="9.4686125004343911"/>
    <n v="10.334473961803646"/>
    <n v="1095.4542399511865"/>
    <n v="1003.6729250460454"/>
    <n v="91.78131490514113"/>
    <n v="6.5716766597976815"/>
    <n v="98.352991564938804"/>
    <n v="0"/>
    <n v="0"/>
    <n v="0"/>
    <n v="98.352991564938804"/>
  </r>
  <r>
    <x v="10"/>
    <d v="2025-12-03T00:00:00"/>
    <d v="2025-12-24T00:00:00"/>
    <x v="6"/>
    <n v="9"/>
    <n v="67"/>
    <n v="9.4686125004343911"/>
    <n v="10.334473961803646"/>
    <n v="692.40975544084426"/>
    <n v="634.39703752910418"/>
    <n v="58.012717911740083"/>
    <n v="4.153795624589101"/>
    <n v="62.166513536329184"/>
    <n v="0"/>
    <n v="0"/>
    <n v="0"/>
    <n v="62.166513536329184"/>
  </r>
  <r>
    <x v="11"/>
    <d v="2026-01-06T00:00:00"/>
    <d v="2026-01-26T00:00:00"/>
    <x v="6"/>
    <n v="9"/>
    <n v="82"/>
    <n v="9.4686125004343911"/>
    <n v="10.334473961803646"/>
    <n v="847.42686486789898"/>
    <n v="776.42622503562006"/>
    <n v="71.000639832278921"/>
    <n v="5.0837498689000933"/>
    <n v="76.08438970117902"/>
    <n v="0"/>
    <n v="0"/>
    <n v="0"/>
    <n v="76.08438970117902"/>
  </r>
  <r>
    <x v="0"/>
    <d v="2025-02-05T00:00:00"/>
    <d v="2025-02-24T00:00:00"/>
    <x v="7"/>
    <n v="9"/>
    <n v="70"/>
    <n v="9.4686125004343911"/>
    <n v="10.334473961803646"/>
    <n v="723.41317732625521"/>
    <n v="662.80287503040734"/>
    <n v="60.610302295847873"/>
    <n v="4.3397864734512988"/>
    <n v="64.950088769299171"/>
    <n v="0"/>
    <n v="0"/>
    <n v="0"/>
    <n v="64.950088769299171"/>
  </r>
  <r>
    <x v="1"/>
    <d v="2025-03-05T00:00:00"/>
    <d v="2025-03-24T00:00:00"/>
    <x v="7"/>
    <n v="9"/>
    <n v="50"/>
    <n v="9.4686125004343911"/>
    <n v="10.334473961803646"/>
    <n v="516.72369809018232"/>
    <n v="473.43062502171955"/>
    <n v="43.293073068462775"/>
    <n v="3.0998474810366421"/>
    <n v="46.392920549499415"/>
    <n v="0"/>
    <n v="0"/>
    <n v="0"/>
    <n v="46.392920549499415"/>
  </r>
  <r>
    <x v="2"/>
    <d v="2025-04-03T00:00:00"/>
    <d v="2025-04-24T00:00:00"/>
    <x v="7"/>
    <n v="9"/>
    <n v="67"/>
    <n v="9.4686125004343911"/>
    <n v="10.334473961803646"/>
    <n v="692.40975544084426"/>
    <n v="634.39703752910418"/>
    <n v="58.012717911740083"/>
    <n v="4.153795624589101"/>
    <n v="62.166513536329184"/>
    <n v="0"/>
    <n v="0"/>
    <n v="0"/>
    <n v="62.166513536329184"/>
  </r>
  <r>
    <x v="3"/>
    <d v="2025-05-05T00:00:00"/>
    <d v="2025-05-26T00:00:00"/>
    <x v="7"/>
    <n v="9"/>
    <n v="71"/>
    <n v="9.4686125004343911"/>
    <n v="10.334473961803646"/>
    <n v="733.74765128805882"/>
    <n v="672.2714875308418"/>
    <n v="61.476163757217023"/>
    <n v="4.4017834230720316"/>
    <n v="65.877947180289055"/>
    <n v="0"/>
    <n v="0"/>
    <n v="0"/>
    <n v="65.877947180289055"/>
  </r>
  <r>
    <x v="4"/>
    <d v="2025-06-04T00:00:00"/>
    <d v="2025-06-24T00:00:00"/>
    <x v="7"/>
    <n v="9"/>
    <n v="64"/>
    <n v="9.4686125004343911"/>
    <n v="10.334473961803646"/>
    <n v="661.40633355543332"/>
    <n v="605.99120002780103"/>
    <n v="55.415133527632292"/>
    <n v="3.9678047757269015"/>
    <n v="59.382938303359197"/>
    <n v="0"/>
    <n v="0"/>
    <n v="0"/>
    <n v="59.382938303359197"/>
  </r>
  <r>
    <x v="5"/>
    <d v="2025-07-03T00:00:00"/>
    <d v="2025-07-24T00:00:00"/>
    <x v="7"/>
    <n v="9"/>
    <n v="72"/>
    <n v="9.4686125004343911"/>
    <n v="10.334473961803646"/>
    <n v="744.08212524986243"/>
    <n v="681.74010003127614"/>
    <n v="62.342025218586286"/>
    <n v="4.4637803726927645"/>
    <n v="66.805805591279054"/>
    <n v="0"/>
    <n v="0"/>
    <n v="0"/>
    <n v="66.805805591279054"/>
  </r>
  <r>
    <x v="6"/>
    <d v="2025-08-05T00:00:00"/>
    <d v="2025-08-25T00:00:00"/>
    <x v="7"/>
    <n v="9"/>
    <n v="11"/>
    <n v="9.4686125004343911"/>
    <n v="10.334473961803646"/>
    <n v="113.67921357984011"/>
    <n v="104.1547375047783"/>
    <n v="9.5244760750618127"/>
    <n v="0.68196644582806132"/>
    <n v="10.206442520889874"/>
    <n v="0"/>
    <n v="0"/>
    <n v="0"/>
    <n v="10.206442520889874"/>
  </r>
  <r>
    <x v="7"/>
    <d v="2025-09-04T00:00:00"/>
    <d v="2025-09-24T00:00:00"/>
    <x v="7"/>
    <n v="9"/>
    <n v="62"/>
    <n v="9.4686125004343911"/>
    <n v="10.334473961803646"/>
    <n v="640.73738563182599"/>
    <n v="587.05397502693222"/>
    <n v="53.683410604893766"/>
    <n v="3.8438108764854362"/>
    <n v="57.5272214813792"/>
    <n v="0"/>
    <n v="0"/>
    <n v="0"/>
    <n v="57.5272214813792"/>
  </r>
  <r>
    <x v="8"/>
    <d v="2025-10-03T00:00:00"/>
    <d v="2025-10-24T00:00:00"/>
    <x v="7"/>
    <n v="9"/>
    <n v="72"/>
    <n v="9.4686125004343911"/>
    <n v="10.334473961803646"/>
    <n v="744.08212524986243"/>
    <n v="681.74010003127614"/>
    <n v="62.342025218586286"/>
    <n v="4.4637803726927645"/>
    <n v="66.805805591279054"/>
    <n v="0"/>
    <n v="0"/>
    <n v="0"/>
    <n v="66.805805591279054"/>
  </r>
  <r>
    <x v="9"/>
    <d v="2025-11-05T00:00:00"/>
    <d v="2025-11-24T00:00:00"/>
    <x v="7"/>
    <n v="9"/>
    <n v="72"/>
    <n v="9.4686125004343911"/>
    <n v="10.334473961803646"/>
    <n v="744.08212524986243"/>
    <n v="681.74010003127614"/>
    <n v="62.342025218586286"/>
    <n v="4.4637803726927645"/>
    <n v="66.805805591279054"/>
    <n v="0"/>
    <n v="0"/>
    <n v="0"/>
    <n v="66.805805591279054"/>
  </r>
  <r>
    <x v="10"/>
    <d v="2025-12-03T00:00:00"/>
    <d v="2025-12-24T00:00:00"/>
    <x v="7"/>
    <n v="9"/>
    <n v="67"/>
    <n v="9.4686125004343911"/>
    <n v="10.334473961803646"/>
    <n v="692.40975544084426"/>
    <n v="634.39703752910418"/>
    <n v="58.012717911740083"/>
    <n v="4.153795624589101"/>
    <n v="62.166513536329184"/>
    <n v="0"/>
    <n v="0"/>
    <n v="0"/>
    <n v="62.166513536329184"/>
  </r>
  <r>
    <x v="11"/>
    <d v="2026-01-06T00:00:00"/>
    <d v="2026-01-26T00:00:00"/>
    <x v="7"/>
    <n v="9"/>
    <n v="68"/>
    <n v="9.4686125004343911"/>
    <n v="10.334473961803646"/>
    <n v="702.74422940264787"/>
    <n v="643.86565002953864"/>
    <n v="58.878579373109233"/>
    <n v="4.215792574209833"/>
    <n v="63.094371947319068"/>
    <n v="0"/>
    <n v="0"/>
    <n v="0"/>
    <n v="63.094371947319068"/>
  </r>
  <r>
    <x v="0"/>
    <d v="2025-02-05T00:00:00"/>
    <d v="2025-02-24T00:00:00"/>
    <x v="8"/>
    <n v="9"/>
    <n v="1315"/>
    <n v="9.4686125004343911"/>
    <n v="10.334473961803646"/>
    <n v="13589.833259771794"/>
    <n v="12451.225438071224"/>
    <n v="1138.6078217005706"/>
    <n v="81.525988751263682"/>
    <n v="1220.1338104518343"/>
    <n v="0"/>
    <n v="0"/>
    <n v="0"/>
    <n v="1220.1338104518343"/>
  </r>
  <r>
    <x v="1"/>
    <d v="2025-03-05T00:00:00"/>
    <d v="2025-03-24T00:00:00"/>
    <x v="8"/>
    <n v="9"/>
    <n v="1377"/>
    <n v="9.4686125004343911"/>
    <n v="10.334473961803646"/>
    <n v="14230.570645403621"/>
    <n v="13038.279413098157"/>
    <n v="1192.2912323054643"/>
    <n v="85.369799627749117"/>
    <n v="1277.6610319332135"/>
    <n v="0"/>
    <n v="0"/>
    <n v="0"/>
    <n v="1277.6610319332135"/>
  </r>
  <r>
    <x v="2"/>
    <d v="2025-04-03T00:00:00"/>
    <d v="2025-04-24T00:00:00"/>
    <x v="8"/>
    <n v="9"/>
    <n v="791"/>
    <n v="9.4686125004343911"/>
    <n v="10.334473961803646"/>
    <n v="8174.5689037866841"/>
    <n v="7489.6724878436034"/>
    <n v="684.89641594308068"/>
    <n v="49.039587149999676"/>
    <n v="733.93600309308033"/>
    <n v="0"/>
    <n v="0"/>
    <n v="0"/>
    <n v="733.93600309308033"/>
  </r>
  <r>
    <x v="3"/>
    <d v="2025-05-05T00:00:00"/>
    <d v="2025-05-26T00:00:00"/>
    <x v="8"/>
    <n v="9"/>
    <n v="603"/>
    <n v="9.4686125004343911"/>
    <n v="10.334473961803646"/>
    <n v="6231.6877989675986"/>
    <n v="5709.5733377619381"/>
    <n v="522.11446120566052"/>
    <n v="37.384160621301902"/>
    <n v="559.49862182696245"/>
    <n v="0"/>
    <n v="0"/>
    <n v="0"/>
    <n v="559.49862182696245"/>
  </r>
  <r>
    <x v="4"/>
    <d v="2025-06-04T00:00:00"/>
    <d v="2025-06-24T00:00:00"/>
    <x v="8"/>
    <n v="9"/>
    <n v="738"/>
    <n v="9.4686125004343911"/>
    <n v="10.334473961803646"/>
    <n v="7626.8417838110909"/>
    <n v="6987.836025320581"/>
    <n v="639.00575849050983"/>
    <n v="45.753748820100839"/>
    <n v="684.75950731061062"/>
    <n v="0"/>
    <n v="0"/>
    <n v="0"/>
    <n v="684.75950731061062"/>
  </r>
  <r>
    <x v="5"/>
    <d v="2025-07-03T00:00:00"/>
    <d v="2025-07-24T00:00:00"/>
    <x v="8"/>
    <n v="9"/>
    <n v="849"/>
    <n v="9.4686125004343911"/>
    <n v="10.334473961803646"/>
    <n v="8773.9683935712947"/>
    <n v="8038.8520128687978"/>
    <n v="735.11638070249683"/>
    <n v="52.635410228002179"/>
    <n v="787.75179093049906"/>
    <n v="0"/>
    <n v="0"/>
    <n v="0"/>
    <n v="787.75179093049906"/>
  </r>
  <r>
    <x v="6"/>
    <d v="2025-08-05T00:00:00"/>
    <d v="2025-08-25T00:00:00"/>
    <x v="8"/>
    <n v="9"/>
    <n v="978"/>
    <n v="9.4686125004343911"/>
    <n v="10.334473961803646"/>
    <n v="10107.115534643965"/>
    <n v="9260.3030254248351"/>
    <n v="846.81250921912942"/>
    <n v="60.633016729076722"/>
    <n v="907.44552594820618"/>
    <n v="0"/>
    <n v="0"/>
    <n v="0"/>
    <n v="907.44552594820618"/>
  </r>
  <r>
    <x v="7"/>
    <d v="2025-09-04T00:00:00"/>
    <d v="2025-09-24T00:00:00"/>
    <x v="8"/>
    <n v="9"/>
    <n v="1000"/>
    <n v="9.4686125004343911"/>
    <n v="10.334473961803646"/>
    <n v="10334.473961803646"/>
    <n v="9468.6125004343903"/>
    <n v="865.86146136925527"/>
    <n v="61.996949620732842"/>
    <n v="927.8584109899881"/>
    <n v="0"/>
    <n v="0"/>
    <n v="0"/>
    <n v="927.8584109899881"/>
  </r>
  <r>
    <x v="8"/>
    <d v="2025-10-03T00:00:00"/>
    <d v="2025-10-24T00:00:00"/>
    <x v="8"/>
    <n v="9"/>
    <n v="844"/>
    <n v="9.4686125004343911"/>
    <n v="10.334473961803646"/>
    <n v="8722.2960237622774"/>
    <n v="7991.5089503666259"/>
    <n v="730.78707339565153"/>
    <n v="52.32542547989852"/>
    <n v="783.11249887555005"/>
    <n v="0"/>
    <n v="0"/>
    <n v="0"/>
    <n v="783.11249887555005"/>
  </r>
  <r>
    <x v="9"/>
    <d v="2025-11-05T00:00:00"/>
    <d v="2025-11-24T00:00:00"/>
    <x v="8"/>
    <n v="9"/>
    <n v="760"/>
    <n v="9.4686125004343911"/>
    <n v="10.334473961803646"/>
    <n v="7854.200210970771"/>
    <n v="7196.1455003301371"/>
    <n v="658.05471064063386"/>
    <n v="47.117681711756958"/>
    <n v="705.17239235239083"/>
    <n v="0"/>
    <n v="0"/>
    <n v="0"/>
    <n v="705.17239235239083"/>
  </r>
  <r>
    <x v="10"/>
    <d v="2025-12-03T00:00:00"/>
    <d v="2025-12-24T00:00:00"/>
    <x v="8"/>
    <n v="9"/>
    <n v="748"/>
    <n v="9.4686125004343911"/>
    <n v="10.334473961803646"/>
    <n v="7730.1865234291272"/>
    <n v="7082.522150324925"/>
    <n v="647.66437310420224"/>
    <n v="46.373718316308164"/>
    <n v="694.03809142051045"/>
    <n v="0"/>
    <n v="0"/>
    <n v="0"/>
    <n v="694.03809142051045"/>
  </r>
  <r>
    <x v="11"/>
    <d v="2026-01-06T00:00:00"/>
    <d v="2026-01-26T00:00:00"/>
    <x v="8"/>
    <n v="9"/>
    <n v="1070"/>
    <n v="9.4686125004343911"/>
    <n v="10.334473961803646"/>
    <n v="11057.887139129902"/>
    <n v="10131.415375464798"/>
    <n v="926.47176366510394"/>
    <n v="66.336736094184147"/>
    <n v="992.80849975928811"/>
    <n v="0"/>
    <n v="0"/>
    <n v="0"/>
    <n v="992.80849975928811"/>
  </r>
  <r>
    <x v="0"/>
    <d v="2025-02-05T00:00:00"/>
    <d v="2025-02-24T00:00:00"/>
    <x v="9"/>
    <n v="9"/>
    <n v="7"/>
    <n v="9.4686125004343911"/>
    <n v="10.334473961803646"/>
    <n v="72.341317732625527"/>
    <n v="66.280287503040739"/>
    <n v="6.0610302295847873"/>
    <n v="0.43397864734512986"/>
    <n v="6.4950088769299175"/>
    <n v="0"/>
    <n v="0"/>
    <n v="0"/>
    <n v="6.4950088769299175"/>
  </r>
  <r>
    <x v="1"/>
    <d v="2025-03-05T00:00:00"/>
    <d v="2025-03-24T00:00:00"/>
    <x v="9"/>
    <n v="9"/>
    <n v="8"/>
    <n v="9.4686125004343911"/>
    <n v="10.334473961803646"/>
    <n v="82.675791694429165"/>
    <n v="75.748900003475129"/>
    <n v="6.9268916909540366"/>
    <n v="0.49597559696586269"/>
    <n v="7.4228672879198996"/>
    <n v="0"/>
    <n v="0"/>
    <n v="0"/>
    <n v="7.4228672879198996"/>
  </r>
  <r>
    <x v="2"/>
    <d v="2025-04-03T00:00:00"/>
    <d v="2025-04-24T00:00:00"/>
    <x v="9"/>
    <n v="9"/>
    <n v="7"/>
    <n v="9.4686125004343911"/>
    <n v="10.334473961803646"/>
    <n v="72.341317732625527"/>
    <n v="66.280287503040739"/>
    <n v="6.0610302295847873"/>
    <n v="0.43397864734512986"/>
    <n v="6.4950088769299175"/>
    <n v="0"/>
    <n v="0"/>
    <n v="0"/>
    <n v="6.4950088769299175"/>
  </r>
  <r>
    <x v="3"/>
    <d v="2025-05-05T00:00:00"/>
    <d v="2025-05-26T00:00:00"/>
    <x v="9"/>
    <n v="9"/>
    <n v="3"/>
    <n v="9.4686125004343911"/>
    <n v="10.334473961803646"/>
    <n v="31.003421885410937"/>
    <n v="28.405837501303175"/>
    <n v="2.5975843841077619"/>
    <n v="0.18599084886219855"/>
    <n v="2.7835752329699606"/>
    <n v="0"/>
    <n v="0"/>
    <n v="0"/>
    <n v="2.7835752329699606"/>
  </r>
  <r>
    <x v="4"/>
    <d v="2025-06-04T00:00:00"/>
    <d v="2025-06-24T00:00:00"/>
    <x v="9"/>
    <n v="9"/>
    <n v="5"/>
    <n v="9.4686125004343911"/>
    <n v="10.334473961803646"/>
    <n v="51.672369809018228"/>
    <n v="47.343062502171954"/>
    <n v="4.3293073068462746"/>
    <n v="0.30998474810366416"/>
    <n v="4.639292054949939"/>
    <n v="0"/>
    <n v="0"/>
    <n v="0"/>
    <n v="4.639292054949939"/>
  </r>
  <r>
    <x v="5"/>
    <d v="2025-07-03T00:00:00"/>
    <d v="2025-07-24T00:00:00"/>
    <x v="9"/>
    <n v="9"/>
    <n v="10"/>
    <n v="9.4686125004343911"/>
    <n v="10.334473961803646"/>
    <n v="103.34473961803646"/>
    <n v="94.686125004343907"/>
    <n v="8.6586146136925493"/>
    <n v="0.61996949620732833"/>
    <n v="9.278584109899878"/>
    <n v="0"/>
    <n v="0"/>
    <n v="0"/>
    <n v="9.278584109899878"/>
  </r>
  <r>
    <x v="6"/>
    <d v="2025-08-05T00:00:00"/>
    <d v="2025-08-25T00:00:00"/>
    <x v="9"/>
    <n v="9"/>
    <n v="17"/>
    <n v="9.4686125004343911"/>
    <n v="10.334473961803646"/>
    <n v="175.68605735066197"/>
    <n v="160.96641250738466"/>
    <n v="14.719644843277308"/>
    <n v="1.0539481435524582"/>
    <n v="15.773592986829767"/>
    <n v="0"/>
    <n v="0"/>
    <n v="0"/>
    <n v="15.773592986829767"/>
  </r>
  <r>
    <x v="7"/>
    <d v="2025-09-04T00:00:00"/>
    <d v="2025-09-24T00:00:00"/>
    <x v="9"/>
    <n v="9"/>
    <n v="16"/>
    <n v="9.4686125004343911"/>
    <n v="10.334473961803646"/>
    <n v="165.35158338885833"/>
    <n v="151.49780000695026"/>
    <n v="13.853783381908073"/>
    <n v="0.99195119393172537"/>
    <n v="14.845734575839799"/>
    <n v="0"/>
    <n v="0"/>
    <n v="0"/>
    <n v="14.845734575839799"/>
  </r>
  <r>
    <x v="8"/>
    <d v="2025-10-03T00:00:00"/>
    <d v="2025-10-24T00:00:00"/>
    <x v="9"/>
    <n v="9"/>
    <n v="8"/>
    <n v="9.4686125004343911"/>
    <n v="10.334473961803646"/>
    <n v="82.675791694429165"/>
    <n v="75.748900003475129"/>
    <n v="6.9268916909540366"/>
    <n v="0.49597559696586269"/>
    <n v="7.4228672879198996"/>
    <n v="0"/>
    <n v="0"/>
    <n v="0"/>
    <n v="7.4228672879198996"/>
  </r>
  <r>
    <x v="9"/>
    <d v="2025-11-05T00:00:00"/>
    <d v="2025-11-24T00:00:00"/>
    <x v="9"/>
    <n v="9"/>
    <n v="8"/>
    <n v="9.4686125004343911"/>
    <n v="10.334473961803646"/>
    <n v="82.675791694429165"/>
    <n v="75.748900003475129"/>
    <n v="6.9268916909540366"/>
    <n v="0.49597559696586269"/>
    <n v="7.4228672879198996"/>
    <n v="0"/>
    <n v="0"/>
    <n v="0"/>
    <n v="7.4228672879198996"/>
  </r>
  <r>
    <x v="10"/>
    <d v="2025-12-03T00:00:00"/>
    <d v="2025-12-24T00:00:00"/>
    <x v="9"/>
    <n v="9"/>
    <n v="6"/>
    <n v="9.4686125004343911"/>
    <n v="10.334473961803646"/>
    <n v="62.006843770821874"/>
    <n v="56.81167500260635"/>
    <n v="5.1951687682155239"/>
    <n v="0.3719816977243971"/>
    <n v="5.5671504659399211"/>
    <n v="0"/>
    <n v="0"/>
    <n v="0"/>
    <n v="5.5671504659399211"/>
  </r>
  <r>
    <x v="11"/>
    <d v="2026-01-06T00:00:00"/>
    <d v="2026-01-26T00:00:00"/>
    <x v="9"/>
    <n v="9"/>
    <n v="7"/>
    <n v="9.4686125004343911"/>
    <n v="10.334473961803646"/>
    <n v="72.341317732625527"/>
    <n v="66.280287503040739"/>
    <n v="6.0610302295847873"/>
    <n v="0.43397864734512986"/>
    <n v="6.4950088769299175"/>
    <n v="0"/>
    <n v="0"/>
    <n v="0"/>
    <n v="6.4950088769299175"/>
  </r>
  <r>
    <x v="0"/>
    <d v="2025-02-05T00:00:00"/>
    <d v="2025-02-24T00:00:00"/>
    <x v="10"/>
    <n v="9"/>
    <n v="2"/>
    <n v="9.4686125004343911"/>
    <n v="10.334473961803646"/>
    <n v="20.668947923607291"/>
    <n v="18.937225000868782"/>
    <n v="1.7317229227385091"/>
    <n v="0.12399389924146567"/>
    <n v="1.8557168219799749"/>
    <n v="0"/>
    <n v="0"/>
    <n v="0"/>
    <n v="1.8557168219799749"/>
  </r>
  <r>
    <x v="1"/>
    <d v="2025-03-05T00:00:00"/>
    <d v="2025-03-24T00:00:00"/>
    <x v="10"/>
    <n v="9"/>
    <n v="3"/>
    <n v="9.4686125004343911"/>
    <n v="10.334473961803646"/>
    <n v="31.003421885410937"/>
    <n v="28.405837501303175"/>
    <n v="2.5975843841077619"/>
    <n v="0.18599084886219855"/>
    <n v="2.7835752329699606"/>
    <n v="0"/>
    <n v="0"/>
    <n v="0"/>
    <n v="2.7835752329699606"/>
  </r>
  <r>
    <x v="2"/>
    <d v="2025-04-03T00:00:00"/>
    <d v="2025-04-24T00:00:00"/>
    <x v="10"/>
    <n v="9"/>
    <n v="2"/>
    <n v="9.4686125004343911"/>
    <n v="10.334473961803646"/>
    <n v="20.668947923607291"/>
    <n v="18.937225000868782"/>
    <n v="1.7317229227385091"/>
    <n v="0.12399389924146567"/>
    <n v="1.8557168219799749"/>
    <n v="0"/>
    <n v="0"/>
    <n v="0"/>
    <n v="1.8557168219799749"/>
  </r>
  <r>
    <x v="3"/>
    <d v="2025-05-05T00:00:00"/>
    <d v="2025-05-26T00:00:00"/>
    <x v="10"/>
    <n v="9"/>
    <n v="1"/>
    <n v="9.4686125004343911"/>
    <n v="10.334473961803646"/>
    <n v="10.334473961803646"/>
    <n v="9.4686125004343911"/>
    <n v="0.86586146136925457"/>
    <n v="6.1996949620732836E-2"/>
    <n v="0.92785841098998745"/>
    <n v="0"/>
    <n v="0"/>
    <n v="0"/>
    <n v="0.92785841098998745"/>
  </r>
  <r>
    <x v="4"/>
    <d v="2025-06-04T00:00:00"/>
    <d v="2025-06-24T00:00:00"/>
    <x v="10"/>
    <n v="9"/>
    <n v="2"/>
    <n v="9.4686125004343911"/>
    <n v="10.334473961803646"/>
    <n v="20.668947923607291"/>
    <n v="18.937225000868782"/>
    <n v="1.7317229227385091"/>
    <n v="0.12399389924146567"/>
    <n v="1.8557168219799749"/>
    <n v="0"/>
    <n v="0"/>
    <n v="0"/>
    <n v="1.8557168219799749"/>
  </r>
  <r>
    <x v="5"/>
    <d v="2025-07-03T00:00:00"/>
    <d v="2025-07-24T00:00:00"/>
    <x v="10"/>
    <n v="9"/>
    <n v="3"/>
    <n v="9.4686125004343911"/>
    <n v="10.334473961803646"/>
    <n v="31.003421885410937"/>
    <n v="28.405837501303175"/>
    <n v="2.5975843841077619"/>
    <n v="0.18599084886219855"/>
    <n v="2.7835752329699606"/>
    <n v="0"/>
    <n v="0"/>
    <n v="0"/>
    <n v="2.7835752329699606"/>
  </r>
  <r>
    <x v="6"/>
    <d v="2025-08-05T00:00:00"/>
    <d v="2025-08-25T00:00:00"/>
    <x v="10"/>
    <n v="9"/>
    <n v="7"/>
    <n v="9.4686125004343911"/>
    <n v="10.334473961803646"/>
    <n v="72.341317732625527"/>
    <n v="66.280287503040739"/>
    <n v="6.0610302295847873"/>
    <n v="0.43397864734512986"/>
    <n v="6.4950088769299175"/>
    <n v="0"/>
    <n v="0"/>
    <n v="0"/>
    <n v="6.4950088769299175"/>
  </r>
  <r>
    <x v="7"/>
    <d v="2025-09-04T00:00:00"/>
    <d v="2025-09-24T00:00:00"/>
    <x v="10"/>
    <n v="9"/>
    <n v="5"/>
    <n v="9.4686125004343911"/>
    <n v="10.334473961803646"/>
    <n v="51.672369809018228"/>
    <n v="47.343062502171954"/>
    <n v="4.3293073068462746"/>
    <n v="0.30998474810366416"/>
    <n v="4.639292054949939"/>
    <n v="0"/>
    <n v="0"/>
    <n v="0"/>
    <n v="4.639292054949939"/>
  </r>
  <r>
    <x v="8"/>
    <d v="2025-10-03T00:00:00"/>
    <d v="2025-10-24T00:00:00"/>
    <x v="10"/>
    <n v="9"/>
    <n v="2"/>
    <n v="9.4686125004343911"/>
    <n v="10.334473961803646"/>
    <n v="20.668947923607291"/>
    <n v="18.937225000868782"/>
    <n v="1.7317229227385091"/>
    <n v="0.12399389924146567"/>
    <n v="1.8557168219799749"/>
    <n v="0"/>
    <n v="0"/>
    <n v="0"/>
    <n v="1.8557168219799749"/>
  </r>
  <r>
    <x v="9"/>
    <d v="2025-11-05T00:00:00"/>
    <d v="2025-11-24T00:00:00"/>
    <x v="10"/>
    <n v="9"/>
    <n v="3"/>
    <n v="9.4686125004343911"/>
    <n v="10.334473961803646"/>
    <n v="31.003421885410937"/>
    <n v="28.405837501303175"/>
    <n v="2.5975843841077619"/>
    <n v="0.18599084886219855"/>
    <n v="2.7835752329699606"/>
    <n v="0"/>
    <n v="0"/>
    <n v="0"/>
    <n v="2.7835752329699606"/>
  </r>
  <r>
    <x v="10"/>
    <d v="2025-12-03T00:00:00"/>
    <d v="2025-12-24T00:00:00"/>
    <x v="10"/>
    <n v="9"/>
    <n v="1"/>
    <n v="9.4686125004343911"/>
    <n v="10.334473961803646"/>
    <n v="10.334473961803646"/>
    <n v="9.4686125004343911"/>
    <n v="0.86586146136925457"/>
    <n v="6.1996949620732836E-2"/>
    <n v="0.92785841098998745"/>
    <n v="0"/>
    <n v="0"/>
    <n v="0"/>
    <n v="0.92785841098998745"/>
  </r>
  <r>
    <x v="11"/>
    <d v="2026-01-06T00:00:00"/>
    <d v="2026-01-26T00:00:00"/>
    <x v="10"/>
    <n v="9"/>
    <n v="2"/>
    <n v="9.4686125004343911"/>
    <n v="10.334473961803646"/>
    <n v="20.668947923607291"/>
    <n v="18.937225000868782"/>
    <n v="1.7317229227385091"/>
    <n v="0.12399389924146567"/>
    <n v="1.8557168219799749"/>
    <n v="0"/>
    <n v="0"/>
    <n v="0"/>
    <n v="1.8557168219799749"/>
  </r>
  <r>
    <x v="0"/>
    <d v="2025-02-05T00:00:00"/>
    <d v="2025-02-24T00:00:00"/>
    <x v="11"/>
    <n v="9"/>
    <n v="137"/>
    <n v="9.4686125004343911"/>
    <n v="10.334473961803646"/>
    <n v="1415.8229327670995"/>
    <n v="1297.1999125595116"/>
    <n v="118.62302020758784"/>
    <n v="8.4935820980403989"/>
    <n v="127.11660230562825"/>
    <n v="0"/>
    <n v="0"/>
    <n v="0"/>
    <n v="127.11660230562825"/>
  </r>
  <r>
    <x v="1"/>
    <d v="2025-03-05T00:00:00"/>
    <d v="2025-03-24T00:00:00"/>
    <x v="11"/>
    <n v="9"/>
    <n v="156"/>
    <n v="9.4686125004343911"/>
    <n v="10.334473961803646"/>
    <n v="1612.1779380413686"/>
    <n v="1477.1035500677649"/>
    <n v="135.07438797360373"/>
    <n v="9.6715241408343235"/>
    <n v="144.74591211443806"/>
    <n v="0"/>
    <n v="0"/>
    <n v="0"/>
    <n v="144.74591211443806"/>
  </r>
  <r>
    <x v="2"/>
    <d v="2025-04-03T00:00:00"/>
    <d v="2025-04-24T00:00:00"/>
    <x v="11"/>
    <n v="9"/>
    <n v="113"/>
    <n v="9.4686125004343911"/>
    <n v="10.334473961803646"/>
    <n v="1167.7955576838119"/>
    <n v="1069.9532125490862"/>
    <n v="97.842345134725747"/>
    <n v="7.0056553071428107"/>
    <n v="104.84800044186856"/>
    <n v="0"/>
    <n v="0"/>
    <n v="0"/>
    <n v="104.84800044186856"/>
  </r>
  <r>
    <x v="3"/>
    <d v="2025-05-05T00:00:00"/>
    <d v="2025-05-26T00:00:00"/>
    <x v="11"/>
    <n v="9"/>
    <n v="112"/>
    <n v="9.4686125004343911"/>
    <n v="10.334473961803646"/>
    <n v="1157.4610837220084"/>
    <n v="1060.4846000486518"/>
    <n v="96.976483673356597"/>
    <n v="6.9436583575220778"/>
    <n v="103.92014203087868"/>
    <n v="0"/>
    <n v="0"/>
    <n v="0"/>
    <n v="103.92014203087868"/>
  </r>
  <r>
    <x v="4"/>
    <d v="2025-06-04T00:00:00"/>
    <d v="2025-06-24T00:00:00"/>
    <x v="11"/>
    <n v="9"/>
    <n v="142"/>
    <n v="9.4686125004343911"/>
    <n v="10.334473961803646"/>
    <n v="1467.4953025761176"/>
    <n v="1344.5429750616836"/>
    <n v="122.95232751443405"/>
    <n v="8.8035668461440633"/>
    <n v="131.75589436057811"/>
    <n v="0"/>
    <n v="0"/>
    <n v="0"/>
    <n v="131.75589436057811"/>
  </r>
  <r>
    <x v="5"/>
    <d v="2025-07-03T00:00:00"/>
    <d v="2025-07-24T00:00:00"/>
    <x v="11"/>
    <n v="9"/>
    <n v="165"/>
    <n v="9.4686125004343911"/>
    <n v="10.334473961803646"/>
    <n v="1705.1882036976015"/>
    <n v="1562.3210625716745"/>
    <n v="142.86714112592699"/>
    <n v="10.229496687420919"/>
    <n v="153.09663781334791"/>
    <n v="0"/>
    <n v="0"/>
    <n v="0"/>
    <n v="153.09663781334791"/>
  </r>
  <r>
    <x v="6"/>
    <d v="2025-08-05T00:00:00"/>
    <d v="2025-08-25T00:00:00"/>
    <x v="11"/>
    <n v="9"/>
    <n v="185"/>
    <n v="9.4686125004343911"/>
    <n v="10.334473961803646"/>
    <n v="1911.8776829336744"/>
    <n v="1751.6933125803623"/>
    <n v="160.18437035331203"/>
    <n v="11.469435679835575"/>
    <n v="171.65380603314762"/>
    <n v="0"/>
    <n v="0"/>
    <n v="0"/>
    <n v="171.65380603314762"/>
  </r>
  <r>
    <x v="7"/>
    <d v="2025-09-04T00:00:00"/>
    <d v="2025-09-24T00:00:00"/>
    <x v="11"/>
    <n v="9"/>
    <n v="191"/>
    <n v="9.4686125004343911"/>
    <n v="10.334473961803646"/>
    <n v="1973.8845267044962"/>
    <n v="1808.5049875829686"/>
    <n v="165.37953912152761"/>
    <n v="11.841417377559972"/>
    <n v="177.22095649908758"/>
    <n v="0"/>
    <n v="0"/>
    <n v="0"/>
    <n v="177.22095649908758"/>
  </r>
  <r>
    <x v="8"/>
    <d v="2025-10-03T00:00:00"/>
    <d v="2025-10-24T00:00:00"/>
    <x v="11"/>
    <n v="9"/>
    <n v="140"/>
    <n v="9.4686125004343911"/>
    <n v="10.334473961803646"/>
    <n v="1446.8263546525104"/>
    <n v="1325.6057500608147"/>
    <n v="121.22060459169575"/>
    <n v="8.6795729469025975"/>
    <n v="129.90017753859834"/>
    <n v="0"/>
    <n v="0"/>
    <n v="0"/>
    <n v="129.90017753859834"/>
  </r>
  <r>
    <x v="9"/>
    <d v="2025-11-05T00:00:00"/>
    <d v="2025-11-24T00:00:00"/>
    <x v="11"/>
    <n v="9"/>
    <n v="137"/>
    <n v="9.4686125004343911"/>
    <n v="10.334473961803646"/>
    <n v="1415.8229327670995"/>
    <n v="1297.1999125595116"/>
    <n v="118.62302020758784"/>
    <n v="8.4935820980403989"/>
    <n v="127.11660230562825"/>
    <n v="0"/>
    <n v="0"/>
    <n v="0"/>
    <n v="127.11660230562825"/>
  </r>
  <r>
    <x v="10"/>
    <d v="2025-12-03T00:00:00"/>
    <d v="2025-12-24T00:00:00"/>
    <x v="11"/>
    <n v="9"/>
    <n v="120"/>
    <n v="9.4686125004343911"/>
    <n v="10.334473961803646"/>
    <n v="1240.1368754164375"/>
    <n v="1136.2335000521268"/>
    <n v="103.9033753643107"/>
    <n v="7.4396339544879408"/>
    <n v="111.34300931879865"/>
    <n v="0"/>
    <n v="0"/>
    <n v="0"/>
    <n v="111.34300931879865"/>
  </r>
  <r>
    <x v="11"/>
    <d v="2026-01-06T00:00:00"/>
    <d v="2026-01-26T00:00:00"/>
    <x v="11"/>
    <n v="9"/>
    <n v="128"/>
    <n v="9.4686125004343911"/>
    <n v="10.334473961803646"/>
    <n v="1322.8126671108666"/>
    <n v="1211.9824000556021"/>
    <n v="110.83026705526458"/>
    <n v="7.935609551453803"/>
    <n v="118.76587660671839"/>
    <n v="0"/>
    <n v="0"/>
    <n v="0"/>
    <n v="118.76587660671839"/>
  </r>
  <r>
    <x v="0"/>
    <d v="2025-02-05T00:00:00"/>
    <d v="2025-02-24T00:00:00"/>
    <x v="12"/>
    <n v="9"/>
    <n v="11"/>
    <n v="9.4686125004343911"/>
    <n v="10.334473961803646"/>
    <n v="113.67921357984011"/>
    <n v="104.1547375047783"/>
    <n v="9.5244760750618127"/>
    <n v="0.68196644582806132"/>
    <n v="10.206442520889874"/>
    <n v="0"/>
    <n v="0"/>
    <n v="0"/>
    <n v="10.206442520889874"/>
  </r>
  <r>
    <x v="1"/>
    <d v="2025-03-05T00:00:00"/>
    <d v="2025-03-24T00:00:00"/>
    <x v="12"/>
    <n v="9"/>
    <n v="9"/>
    <n v="9.4686125004343911"/>
    <n v="10.334473961803646"/>
    <n v="93.010265656232804"/>
    <n v="85.217512503909518"/>
    <n v="7.7927531523232858"/>
    <n v="0.55797254658659556"/>
    <n v="8.3507256989098817"/>
    <n v="0"/>
    <n v="0"/>
    <n v="0"/>
    <n v="8.3507256989098817"/>
  </r>
  <r>
    <x v="2"/>
    <d v="2025-04-03T00:00:00"/>
    <d v="2025-04-24T00:00:00"/>
    <x v="12"/>
    <n v="9"/>
    <n v="8"/>
    <n v="9.4686125004343911"/>
    <n v="10.334473961803646"/>
    <n v="82.675791694429165"/>
    <n v="75.748900003475129"/>
    <n v="6.9268916909540366"/>
    <n v="0.49597559696586269"/>
    <n v="7.4228672879198996"/>
    <n v="0"/>
    <n v="0"/>
    <n v="0"/>
    <n v="7.4228672879198996"/>
  </r>
  <r>
    <x v="3"/>
    <d v="2025-05-05T00:00:00"/>
    <d v="2025-05-26T00:00:00"/>
    <x v="12"/>
    <n v="9"/>
    <n v="10"/>
    <n v="9.4686125004343911"/>
    <n v="10.334473961803646"/>
    <n v="103.34473961803646"/>
    <n v="94.686125004343907"/>
    <n v="8.6586146136925493"/>
    <n v="0.61996949620732833"/>
    <n v="9.278584109899878"/>
    <n v="0"/>
    <n v="0"/>
    <n v="0"/>
    <n v="9.278584109899878"/>
  </r>
  <r>
    <x v="4"/>
    <d v="2025-06-04T00:00:00"/>
    <d v="2025-06-24T00:00:00"/>
    <x v="12"/>
    <n v="9"/>
    <n v="11"/>
    <n v="9.4686125004343911"/>
    <n v="10.334473961803646"/>
    <n v="113.67921357984011"/>
    <n v="104.1547375047783"/>
    <n v="9.5244760750618127"/>
    <n v="0.68196644582806132"/>
    <n v="10.206442520889874"/>
    <n v="0"/>
    <n v="0"/>
    <n v="0"/>
    <n v="10.206442520889874"/>
  </r>
  <r>
    <x v="5"/>
    <d v="2025-07-03T00:00:00"/>
    <d v="2025-07-24T00:00:00"/>
    <x v="12"/>
    <n v="9"/>
    <n v="11"/>
    <n v="9.4686125004343911"/>
    <n v="10.334473961803646"/>
    <n v="113.67921357984011"/>
    <n v="104.1547375047783"/>
    <n v="9.5244760750618127"/>
    <n v="0.68196644582806132"/>
    <n v="10.206442520889874"/>
    <n v="0"/>
    <n v="0"/>
    <n v="0"/>
    <n v="10.206442520889874"/>
  </r>
  <r>
    <x v="6"/>
    <d v="2025-08-05T00:00:00"/>
    <d v="2025-08-25T00:00:00"/>
    <x v="12"/>
    <n v="9"/>
    <n v="14"/>
    <n v="9.4686125004343911"/>
    <n v="10.334473961803646"/>
    <n v="144.68263546525105"/>
    <n v="132.56057500608148"/>
    <n v="12.122060459169575"/>
    <n v="0.86795729469025973"/>
    <n v="12.990017753859835"/>
    <n v="0"/>
    <n v="0"/>
    <n v="0"/>
    <n v="12.990017753859835"/>
  </r>
  <r>
    <x v="7"/>
    <d v="2025-09-04T00:00:00"/>
    <d v="2025-09-24T00:00:00"/>
    <x v="12"/>
    <n v="9"/>
    <n v="11"/>
    <n v="9.4686125004343911"/>
    <n v="10.334473961803646"/>
    <n v="113.67921357984011"/>
    <n v="104.1547375047783"/>
    <n v="9.5244760750618127"/>
    <n v="0.68196644582806132"/>
    <n v="10.206442520889874"/>
    <n v="0"/>
    <n v="0"/>
    <n v="0"/>
    <n v="10.206442520889874"/>
  </r>
  <r>
    <x v="8"/>
    <d v="2025-10-03T00:00:00"/>
    <d v="2025-10-24T00:00:00"/>
    <x v="12"/>
    <n v="9"/>
    <n v="12"/>
    <n v="9.4686125004343911"/>
    <n v="10.334473961803646"/>
    <n v="124.01368754164375"/>
    <n v="113.6233500052127"/>
    <n v="10.390337536431048"/>
    <n v="0.7439633954487942"/>
    <n v="11.134300931879842"/>
    <n v="0"/>
    <n v="0"/>
    <n v="0"/>
    <n v="11.134300931879842"/>
  </r>
  <r>
    <x v="9"/>
    <d v="2025-11-05T00:00:00"/>
    <d v="2025-11-24T00:00:00"/>
    <x v="12"/>
    <n v="9"/>
    <n v="13"/>
    <n v="9.4686125004343911"/>
    <n v="10.334473961803646"/>
    <n v="134.34816150344739"/>
    <n v="123.09196250564709"/>
    <n v="11.256198997800297"/>
    <n v="0.80596034506952685"/>
    <n v="12.062159342869824"/>
    <n v="0"/>
    <n v="0"/>
    <n v="0"/>
    <n v="12.062159342869824"/>
  </r>
  <r>
    <x v="10"/>
    <d v="2025-12-03T00:00:00"/>
    <d v="2025-12-24T00:00:00"/>
    <x v="12"/>
    <n v="9"/>
    <n v="10"/>
    <n v="9.4686125004343911"/>
    <n v="10.334473961803646"/>
    <n v="103.34473961803646"/>
    <n v="94.686125004343907"/>
    <n v="8.6586146136925493"/>
    <n v="0.61996949620732833"/>
    <n v="9.278584109899878"/>
    <n v="0"/>
    <n v="0"/>
    <n v="0"/>
    <n v="9.278584109899878"/>
  </r>
  <r>
    <x v="11"/>
    <d v="2026-01-06T00:00:00"/>
    <d v="2026-01-26T00:00:00"/>
    <x v="12"/>
    <n v="9"/>
    <n v="7"/>
    <n v="9.4686125004343911"/>
    <n v="10.334473961803646"/>
    <n v="72.341317732625527"/>
    <n v="66.280287503040739"/>
    <n v="6.0610302295847873"/>
    <n v="0.43397864734512986"/>
    <n v="6.4950088769299175"/>
    <n v="0"/>
    <n v="0"/>
    <n v="0"/>
    <n v="6.4950088769299175"/>
  </r>
  <r>
    <x v="0"/>
    <d v="2025-02-05T00:00:00"/>
    <d v="2025-02-24T00:00:00"/>
    <x v="13"/>
    <n v="9"/>
    <n v="0"/>
    <n v="9.4686125004343911"/>
    <n v="10.334473961803646"/>
    <n v="0"/>
    <n v="0"/>
    <n v="0"/>
    <n v="0"/>
    <n v="0"/>
    <n v="0"/>
    <n v="0"/>
    <n v="0"/>
    <n v="0"/>
  </r>
  <r>
    <x v="1"/>
    <d v="2025-03-05T00:00:00"/>
    <d v="2025-03-24T00:00:00"/>
    <x v="13"/>
    <n v="9"/>
    <n v="0"/>
    <n v="9.4686125004343911"/>
    <n v="10.334473961803646"/>
    <n v="0"/>
    <n v="0"/>
    <n v="0"/>
    <n v="0"/>
    <n v="0"/>
    <n v="0"/>
    <n v="0"/>
    <n v="0"/>
    <n v="0"/>
  </r>
  <r>
    <x v="2"/>
    <d v="2025-04-03T00:00:00"/>
    <d v="2025-04-24T00:00:00"/>
    <x v="13"/>
    <n v="9"/>
    <n v="0"/>
    <n v="9.4686125004343911"/>
    <n v="10.334473961803646"/>
    <n v="0"/>
    <n v="0"/>
    <n v="0"/>
    <n v="0"/>
    <n v="0"/>
    <n v="0"/>
    <n v="0"/>
    <n v="0"/>
    <n v="0"/>
  </r>
  <r>
    <x v="3"/>
    <d v="2025-05-05T00:00:00"/>
    <d v="2025-05-26T00:00:00"/>
    <x v="13"/>
    <n v="9"/>
    <n v="0"/>
    <n v="9.4686125004343911"/>
    <n v="10.334473961803646"/>
    <n v="0"/>
    <n v="0"/>
    <n v="0"/>
    <n v="0"/>
    <n v="0"/>
    <n v="0"/>
    <n v="0"/>
    <n v="0"/>
    <n v="0"/>
  </r>
  <r>
    <x v="4"/>
    <d v="2025-06-04T00:00:00"/>
    <d v="2025-06-24T00:00:00"/>
    <x v="13"/>
    <n v="9"/>
    <n v="0"/>
    <n v="9.4686125004343911"/>
    <n v="10.334473961803646"/>
    <n v="0"/>
    <n v="0"/>
    <n v="0"/>
    <n v="0"/>
    <n v="0"/>
    <n v="0"/>
    <n v="0"/>
    <n v="0"/>
    <n v="0"/>
  </r>
  <r>
    <x v="5"/>
    <d v="2025-07-03T00:00:00"/>
    <d v="2025-07-24T00:00:00"/>
    <x v="13"/>
    <n v="9"/>
    <n v="0"/>
    <n v="9.4686125004343911"/>
    <n v="10.334473961803646"/>
    <n v="0"/>
    <n v="0"/>
    <n v="0"/>
    <n v="0"/>
    <n v="0"/>
    <n v="0"/>
    <n v="0"/>
    <n v="0"/>
    <n v="0"/>
  </r>
  <r>
    <x v="6"/>
    <d v="2025-08-05T00:00:00"/>
    <d v="2025-08-25T00:00:00"/>
    <x v="13"/>
    <n v="9"/>
    <n v="0"/>
    <n v="9.4686125004343911"/>
    <n v="10.334473961803646"/>
    <n v="0"/>
    <n v="0"/>
    <n v="0"/>
    <n v="0"/>
    <n v="0"/>
    <n v="0"/>
    <n v="0"/>
    <n v="0"/>
    <n v="0"/>
  </r>
  <r>
    <x v="7"/>
    <d v="2025-09-04T00:00:00"/>
    <d v="2025-09-24T00:00:00"/>
    <x v="13"/>
    <n v="9"/>
    <n v="0"/>
    <n v="9.4686125004343911"/>
    <n v="10.334473961803646"/>
    <n v="0"/>
    <n v="0"/>
    <n v="0"/>
    <n v="0"/>
    <n v="0"/>
    <n v="0"/>
    <n v="0"/>
    <n v="0"/>
    <n v="0"/>
  </r>
  <r>
    <x v="8"/>
    <d v="2025-10-03T00:00:00"/>
    <d v="2025-10-24T00:00:00"/>
    <x v="13"/>
    <n v="9"/>
    <n v="0"/>
    <n v="9.4686125004343911"/>
    <n v="10.334473961803646"/>
    <n v="0"/>
    <n v="0"/>
    <n v="0"/>
    <n v="0"/>
    <n v="0"/>
    <n v="0"/>
    <n v="0"/>
    <n v="0"/>
    <n v="0"/>
  </r>
  <r>
    <x v="9"/>
    <d v="2025-11-05T00:00:00"/>
    <d v="2025-11-24T00:00:00"/>
    <x v="13"/>
    <n v="9"/>
    <n v="0"/>
    <n v="9.4686125004343911"/>
    <n v="10.334473961803646"/>
    <n v="0"/>
    <n v="0"/>
    <n v="0"/>
    <n v="0"/>
    <n v="0"/>
    <n v="0"/>
    <n v="0"/>
    <n v="0"/>
    <n v="0"/>
  </r>
  <r>
    <x v="10"/>
    <d v="2025-12-03T00:00:00"/>
    <d v="2025-12-24T00:00:00"/>
    <x v="13"/>
    <n v="9"/>
    <n v="0"/>
    <n v="9.4686125004343911"/>
    <n v="10.334473961803646"/>
    <n v="0"/>
    <n v="0"/>
    <n v="0"/>
    <n v="0"/>
    <n v="0"/>
    <n v="0"/>
    <n v="0"/>
    <n v="0"/>
    <n v="0"/>
  </r>
  <r>
    <x v="11"/>
    <d v="2026-01-06T00:00:00"/>
    <d v="2026-01-26T00:00:00"/>
    <x v="13"/>
    <n v="9"/>
    <n v="0"/>
    <n v="9.4686125004343911"/>
    <n v="10.334473961803646"/>
    <n v="0"/>
    <n v="0"/>
    <n v="0"/>
    <n v="0"/>
    <n v="0"/>
    <n v="0"/>
    <n v="0"/>
    <n v="0"/>
    <n v="0"/>
  </r>
  <r>
    <x v="0"/>
    <d v="2025-02-05T00:00:00"/>
    <d v="2025-02-24T00:00:00"/>
    <x v="14"/>
    <n v="9"/>
    <n v="37"/>
    <n v="9.4686125004343911"/>
    <n v="10.334473961803646"/>
    <n v="382.37553658673488"/>
    <n v="350.33866251607247"/>
    <n v="32.036874070662407"/>
    <n v="2.2938871359671151"/>
    <n v="34.330761206629525"/>
    <n v="0"/>
    <n v="0"/>
    <n v="0"/>
    <n v="34.330761206629525"/>
  </r>
  <r>
    <x v="1"/>
    <d v="2025-03-05T00:00:00"/>
    <d v="2025-03-24T00:00:00"/>
    <x v="14"/>
    <n v="9"/>
    <n v="42"/>
    <n v="9.4686125004343911"/>
    <n v="10.334473961803646"/>
    <n v="434.0479063957531"/>
    <n v="397.68172501824444"/>
    <n v="36.366181377508667"/>
    <n v="2.6038718840707791"/>
    <n v="38.970053261579444"/>
    <n v="0"/>
    <n v="0"/>
    <n v="0"/>
    <n v="38.970053261579444"/>
  </r>
  <r>
    <x v="2"/>
    <d v="2025-04-03T00:00:00"/>
    <d v="2025-04-24T00:00:00"/>
    <x v="14"/>
    <n v="9"/>
    <n v="30"/>
    <n v="9.4686125004343911"/>
    <n v="10.334473961803646"/>
    <n v="310.03421885410938"/>
    <n v="284.05837501303171"/>
    <n v="25.975843841077676"/>
    <n v="1.8599084886219852"/>
    <n v="27.835752329699663"/>
    <n v="0"/>
    <n v="0"/>
    <n v="0"/>
    <n v="27.835752329699663"/>
  </r>
  <r>
    <x v="3"/>
    <d v="2025-05-05T00:00:00"/>
    <d v="2025-05-26T00:00:00"/>
    <x v="14"/>
    <n v="9"/>
    <n v="32"/>
    <n v="9.4686125004343911"/>
    <n v="10.334473961803646"/>
    <n v="330.70316677771666"/>
    <n v="302.99560001390051"/>
    <n v="27.707566763816146"/>
    <n v="1.9839023878634507"/>
    <n v="29.691469151679598"/>
    <n v="0"/>
    <n v="0"/>
    <n v="0"/>
    <n v="29.691469151679598"/>
  </r>
  <r>
    <x v="4"/>
    <d v="2025-06-04T00:00:00"/>
    <d v="2025-06-24T00:00:00"/>
    <x v="14"/>
    <n v="9"/>
    <n v="39"/>
    <n v="9.4686125004343911"/>
    <n v="10.334473961803646"/>
    <n v="403.04448451034216"/>
    <n v="369.27588751694122"/>
    <n v="33.768596993400934"/>
    <n v="2.4178810352085809"/>
    <n v="36.186478028609514"/>
    <n v="0"/>
    <n v="0"/>
    <n v="0"/>
    <n v="36.186478028609514"/>
  </r>
  <r>
    <x v="5"/>
    <d v="2025-07-03T00:00:00"/>
    <d v="2025-07-24T00:00:00"/>
    <x v="14"/>
    <n v="9"/>
    <n v="47"/>
    <n v="9.4686125004343911"/>
    <n v="10.334473961803646"/>
    <n v="485.72027620477132"/>
    <n v="445.0247875204164"/>
    <n v="40.695488684354927"/>
    <n v="2.9138566321744435"/>
    <n v="43.609345316529371"/>
    <n v="0"/>
    <n v="0"/>
    <n v="0"/>
    <n v="43.609345316529371"/>
  </r>
  <r>
    <x v="6"/>
    <d v="2025-08-05T00:00:00"/>
    <d v="2025-08-25T00:00:00"/>
    <x v="14"/>
    <n v="9"/>
    <n v="53"/>
    <n v="9.4686125004343911"/>
    <n v="10.334473961803646"/>
    <n v="547.72711997559327"/>
    <n v="501.8364625230227"/>
    <n v="45.890657452570565"/>
    <n v="3.2858383298988407"/>
    <n v="49.176495782469402"/>
    <n v="0"/>
    <n v="0"/>
    <n v="0"/>
    <n v="49.176495782469402"/>
  </r>
  <r>
    <x v="7"/>
    <d v="2025-09-04T00:00:00"/>
    <d v="2025-09-24T00:00:00"/>
    <x v="14"/>
    <n v="9"/>
    <n v="52"/>
    <n v="9.4686125004343911"/>
    <n v="10.334473961803646"/>
    <n v="537.39264601378954"/>
    <n v="492.36785002258836"/>
    <n v="45.024795991201188"/>
    <n v="3.2238413802781074"/>
    <n v="48.248637371479298"/>
    <n v="0"/>
    <n v="0"/>
    <n v="0"/>
    <n v="48.248637371479298"/>
  </r>
  <r>
    <x v="8"/>
    <d v="2025-10-03T00:00:00"/>
    <d v="2025-10-24T00:00:00"/>
    <x v="14"/>
    <n v="9"/>
    <n v="45"/>
    <n v="9.4686125004343911"/>
    <n v="10.334473961803646"/>
    <n v="465.05132828116405"/>
    <n v="426.08756251954759"/>
    <n v="38.963765761616457"/>
    <n v="2.7898627329329777"/>
    <n v="41.753628494549432"/>
    <n v="0"/>
    <n v="0"/>
    <n v="0"/>
    <n v="41.753628494549432"/>
  </r>
  <r>
    <x v="9"/>
    <d v="2025-11-05T00:00:00"/>
    <d v="2025-11-24T00:00:00"/>
    <x v="14"/>
    <n v="9"/>
    <n v="41"/>
    <n v="9.4686125004343911"/>
    <n v="10.334473961803646"/>
    <n v="423.71343243394949"/>
    <n v="388.21311251781003"/>
    <n v="35.50031991613946"/>
    <n v="2.5418749344500466"/>
    <n v="38.04219485058951"/>
    <n v="0"/>
    <n v="0"/>
    <n v="0"/>
    <n v="38.04219485058951"/>
  </r>
  <r>
    <x v="10"/>
    <d v="2025-12-03T00:00:00"/>
    <d v="2025-12-24T00:00:00"/>
    <x v="14"/>
    <n v="9"/>
    <n v="29"/>
    <n v="9.4686125004343911"/>
    <n v="10.334473961803646"/>
    <n v="299.69974489230572"/>
    <n v="274.58976251259736"/>
    <n v="25.109982379708356"/>
    <n v="1.7979115390012526"/>
    <n v="26.907893918709608"/>
    <n v="0"/>
    <n v="0"/>
    <n v="0"/>
    <n v="26.907893918709608"/>
  </r>
  <r>
    <x v="11"/>
    <d v="2026-01-06T00:00:00"/>
    <d v="2026-01-26T00:00:00"/>
    <x v="14"/>
    <n v="9"/>
    <n v="36"/>
    <n v="9.4686125004343911"/>
    <n v="10.334473961803646"/>
    <n v="372.04106262493121"/>
    <n v="340.87005001563807"/>
    <n v="31.171012609293143"/>
    <n v="2.2318901863463823"/>
    <n v="33.402902795639527"/>
    <n v="0"/>
    <n v="0"/>
    <n v="0"/>
    <n v="33.402902795639527"/>
  </r>
  <r>
    <x v="0"/>
    <d v="2025-02-05T00:00:00"/>
    <d v="2025-02-24T00:00:00"/>
    <x v="15"/>
    <n v="9"/>
    <n v="106"/>
    <n v="9.4686125004343911"/>
    <n v="10.334473961803646"/>
    <n v="1095.4542399511865"/>
    <n v="1003.6729250460454"/>
    <n v="91.78131490514113"/>
    <n v="6.5716766597976815"/>
    <n v="98.352991564938804"/>
    <n v="0"/>
    <n v="0"/>
    <n v="0"/>
    <n v="98.352991564938804"/>
  </r>
  <r>
    <x v="1"/>
    <d v="2025-03-05T00:00:00"/>
    <d v="2025-03-24T00:00:00"/>
    <x v="15"/>
    <n v="9"/>
    <n v="102"/>
    <n v="9.4686125004343911"/>
    <n v="10.334473961803646"/>
    <n v="1054.1163441039719"/>
    <n v="965.79847504430791"/>
    <n v="88.317869059663963"/>
    <n v="6.3236888613147499"/>
    <n v="94.641557920978713"/>
    <n v="0"/>
    <n v="0"/>
    <n v="0"/>
    <n v="94.641557920978713"/>
  </r>
  <r>
    <x v="2"/>
    <d v="2025-04-03T00:00:00"/>
    <d v="2025-04-24T00:00:00"/>
    <x v="15"/>
    <n v="9"/>
    <n v="100"/>
    <n v="9.4686125004343911"/>
    <n v="10.334473961803646"/>
    <n v="1033.4473961803646"/>
    <n v="946.8612500434391"/>
    <n v="86.586146136925549"/>
    <n v="6.1996949620732842"/>
    <n v="92.78584109899883"/>
    <n v="0"/>
    <n v="0"/>
    <n v="0"/>
    <n v="92.78584109899883"/>
  </r>
  <r>
    <x v="3"/>
    <d v="2025-05-05T00:00:00"/>
    <d v="2025-05-26T00:00:00"/>
    <x v="15"/>
    <n v="9"/>
    <n v="60"/>
    <n v="9.4686125004343911"/>
    <n v="10.334473961803646"/>
    <n v="620.06843770821877"/>
    <n v="568.11675002606341"/>
    <n v="51.951687682155352"/>
    <n v="3.7198169772439704"/>
    <n v="55.671504659399325"/>
    <n v="0"/>
    <n v="0"/>
    <n v="0"/>
    <n v="55.671504659399325"/>
  </r>
  <r>
    <x v="4"/>
    <d v="2025-06-04T00:00:00"/>
    <d v="2025-06-24T00:00:00"/>
    <x v="15"/>
    <n v="9"/>
    <n v="96"/>
    <n v="9.4686125004343911"/>
    <n v="10.334473961803646"/>
    <n v="992.10950033314998"/>
    <n v="908.9868000417016"/>
    <n v="83.122700291448382"/>
    <n v="5.9517071635903536"/>
    <n v="89.074407455038738"/>
    <n v="0"/>
    <n v="0"/>
    <n v="0"/>
    <n v="89.074407455038738"/>
  </r>
  <r>
    <x v="5"/>
    <d v="2025-07-03T00:00:00"/>
    <d v="2025-07-24T00:00:00"/>
    <x v="15"/>
    <n v="9"/>
    <n v="119"/>
    <n v="9.4686125004343911"/>
    <n v="10.334473961803646"/>
    <n v="1229.8024014546338"/>
    <n v="1126.7648875516925"/>
    <n v="103.03751390294133"/>
    <n v="7.377637004867208"/>
    <n v="110.41515090780854"/>
    <n v="0"/>
    <n v="0"/>
    <n v="0"/>
    <n v="110.41515090780854"/>
  </r>
  <r>
    <x v="6"/>
    <d v="2025-08-05T00:00:00"/>
    <d v="2025-08-25T00:00:00"/>
    <x v="15"/>
    <n v="9"/>
    <n v="118"/>
    <n v="9.4686125004343911"/>
    <n v="10.334473961803646"/>
    <n v="1219.4679274928301"/>
    <n v="1117.2962750512581"/>
    <n v="102.17165244157195"/>
    <n v="7.315640055246476"/>
    <n v="109.48729249681843"/>
    <n v="0"/>
    <n v="0"/>
    <n v="0"/>
    <n v="109.48729249681843"/>
  </r>
  <r>
    <x v="7"/>
    <d v="2025-09-04T00:00:00"/>
    <d v="2025-09-24T00:00:00"/>
    <x v="15"/>
    <n v="9"/>
    <n v="119"/>
    <n v="9.4686125004343911"/>
    <n v="10.334473961803646"/>
    <n v="1229.8024014546338"/>
    <n v="1126.7648875516925"/>
    <n v="103.03751390294133"/>
    <n v="7.377637004867208"/>
    <n v="110.41515090780854"/>
    <n v="0"/>
    <n v="0"/>
    <n v="0"/>
    <n v="110.41515090780854"/>
  </r>
  <r>
    <x v="8"/>
    <d v="2025-10-03T00:00:00"/>
    <d v="2025-10-24T00:00:00"/>
    <x v="15"/>
    <n v="9"/>
    <n v="101"/>
    <n v="9.4686125004343911"/>
    <n v="10.334473961803646"/>
    <n v="1043.7818701421681"/>
    <n v="956.32986254387345"/>
    <n v="87.452007598294699"/>
    <n v="6.2616919116940171"/>
    <n v="93.713699509988714"/>
    <n v="0"/>
    <n v="0"/>
    <n v="0"/>
    <n v="93.713699509988714"/>
  </r>
  <r>
    <x v="9"/>
    <d v="2025-11-05T00:00:00"/>
    <d v="2025-11-24T00:00:00"/>
    <x v="15"/>
    <n v="9"/>
    <n v="106"/>
    <n v="9.4686125004343911"/>
    <n v="10.334473961803646"/>
    <n v="1095.4542399511865"/>
    <n v="1003.6729250460454"/>
    <n v="91.78131490514113"/>
    <n v="6.5716766597976815"/>
    <n v="98.352991564938804"/>
    <n v="0"/>
    <n v="0"/>
    <n v="0"/>
    <n v="98.352991564938804"/>
  </r>
  <r>
    <x v="10"/>
    <d v="2025-12-03T00:00:00"/>
    <d v="2025-12-24T00:00:00"/>
    <x v="15"/>
    <n v="9"/>
    <n v="35"/>
    <n v="9.4686125004343911"/>
    <n v="10.334473961803646"/>
    <n v="361.7065886631276"/>
    <n v="331.40143751520367"/>
    <n v="30.305151147923937"/>
    <n v="2.1698932367256494"/>
    <n v="32.475044384649586"/>
    <n v="0"/>
    <n v="0"/>
    <n v="0"/>
    <n v="32.475044384649586"/>
  </r>
  <r>
    <x v="11"/>
    <d v="2026-01-06T00:00:00"/>
    <d v="2026-01-26T00:00:00"/>
    <x v="15"/>
    <n v="9"/>
    <n v="103"/>
    <n v="9.4686125004343911"/>
    <n v="10.334473961803646"/>
    <n v="1064.4508180657756"/>
    <n v="975.26708754474225"/>
    <n v="89.18373052103334"/>
    <n v="6.3856858109354828"/>
    <n v="95.569416331968824"/>
    <n v="0"/>
    <n v="0"/>
    <n v="0"/>
    <n v="95.5694163319688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14" dataOnRows="1" applyNumberFormats="0" applyBorderFormats="0" applyFontFormats="0" applyPatternFormats="0" applyAlignmentFormats="0" applyWidthHeightFormats="1" dataCaption="Data" updatedVersion="8" minRefreshableVersion="3" asteriskTotals="1" showMemberPropertyTips="0" useAutoFormatting="1" itemPrintTitles="1" createdVersion="6" indent="0" compact="0" compactData="0" gridDropZones="1">
  <location ref="A3:O123" firstHeaderRow="1" firstDataRow="2" firstDataCol="2"/>
  <pivotFields count="17">
    <pivotField axis="axisCol" compact="0" numFmtId="17" outline="0" subtotalTop="0" showAll="0" includeNewItemsInFilter="1">
      <items count="193">
        <item m="1" x="93"/>
        <item m="1" x="117"/>
        <item m="1" x="141"/>
        <item m="1" x="165"/>
        <item m="1" x="189"/>
        <item m="1" x="69"/>
        <item m="1" x="104"/>
        <item m="1" x="128"/>
        <item m="1" x="152"/>
        <item m="1" x="176"/>
        <item m="1" x="56"/>
        <item m="1" x="80"/>
        <item m="1" x="94"/>
        <item m="1" x="118"/>
        <item m="1" x="142"/>
        <item m="1" x="166"/>
        <item m="1" x="190"/>
        <item m="1" x="70"/>
        <item m="1" x="106"/>
        <item m="1" x="130"/>
        <item m="1" x="154"/>
        <item m="1" x="178"/>
        <item m="1" x="58"/>
        <item m="1" x="82"/>
        <item m="1" x="95"/>
        <item m="1" x="119"/>
        <item m="1" x="143"/>
        <item m="1" x="167"/>
        <item m="1" x="191"/>
        <item m="1" x="71"/>
        <item m="1" x="107"/>
        <item m="1" x="131"/>
        <item m="1" x="155"/>
        <item m="1" x="179"/>
        <item m="1" x="59"/>
        <item m="1" x="83"/>
        <item m="1" x="96"/>
        <item m="1" x="120"/>
        <item m="1" x="144"/>
        <item m="1" x="168"/>
        <item m="1" x="48"/>
        <item m="1" x="72"/>
        <item m="1" x="108"/>
        <item m="1" x="132"/>
        <item m="1" x="156"/>
        <item m="1" x="180"/>
        <item m="1" x="60"/>
        <item m="1" x="84"/>
        <item m="1" x="97"/>
        <item m="1" x="121"/>
        <item m="1" x="145"/>
        <item m="1" x="169"/>
        <item m="1" x="49"/>
        <item m="1" x="73"/>
        <item m="1" x="109"/>
        <item m="1" x="133"/>
        <item m="1" x="157"/>
        <item m="1" x="181"/>
        <item m="1" x="61"/>
        <item m="1" x="85"/>
        <item m="1" x="98"/>
        <item m="1" x="122"/>
        <item m="1" x="146"/>
        <item m="1" x="170"/>
        <item m="1" x="50"/>
        <item m="1" x="74"/>
        <item m="1" x="110"/>
        <item m="1" x="134"/>
        <item m="1" x="158"/>
        <item m="1" x="182"/>
        <item m="1" x="62"/>
        <item m="1" x="86"/>
        <item m="1" x="99"/>
        <item m="1" x="123"/>
        <item m="1" x="147"/>
        <item m="1" x="171"/>
        <item m="1" x="51"/>
        <item m="1" x="75"/>
        <item m="1" x="111"/>
        <item m="1" x="135"/>
        <item m="1" x="159"/>
        <item m="1" x="183"/>
        <item m="1" x="63"/>
        <item m="1" x="87"/>
        <item m="1" x="100"/>
        <item m="1" x="124"/>
        <item m="1" x="148"/>
        <item m="1" x="172"/>
        <item m="1" x="52"/>
        <item m="1" x="76"/>
        <item m="1" x="112"/>
        <item m="1" x="136"/>
        <item m="1" x="160"/>
        <item m="1" x="184"/>
        <item m="1" x="64"/>
        <item m="1" x="88"/>
        <item m="1" x="101"/>
        <item m="1" x="125"/>
        <item m="1" x="149"/>
        <item m="1" x="173"/>
        <item m="1" x="53"/>
        <item m="1" x="77"/>
        <item m="1" x="113"/>
        <item m="1" x="137"/>
        <item m="1" x="161"/>
        <item m="1" x="185"/>
        <item m="1" x="65"/>
        <item m="1" x="89"/>
        <item m="1" x="102"/>
        <item m="1" x="126"/>
        <item m="1" x="150"/>
        <item m="1" x="174"/>
        <item m="1" x="54"/>
        <item m="1" x="78"/>
        <item m="1" x="114"/>
        <item m="1" x="138"/>
        <item m="1" x="162"/>
        <item m="1" x="186"/>
        <item m="1" x="66"/>
        <item m="1" x="90"/>
        <item m="1" x="103"/>
        <item m="1" x="127"/>
        <item m="1" x="151"/>
        <item m="1" x="175"/>
        <item m="1" x="55"/>
        <item m="1" x="79"/>
        <item m="1" x="115"/>
        <item m="1" x="139"/>
        <item m="1" x="163"/>
        <item m="1" x="187"/>
        <item m="1" x="67"/>
        <item m="1" x="91"/>
        <item m="1" x="105"/>
        <item m="1" x="129"/>
        <item m="1" x="153"/>
        <item m="1" x="177"/>
        <item m="1" x="57"/>
        <item m="1" x="81"/>
        <item m="1" x="116"/>
        <item m="1" x="140"/>
        <item m="1" x="164"/>
        <item m="1" x="188"/>
        <item m="1" x="68"/>
        <item m="1" x="92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numFmtId="14" outline="0" subtotalTop="0" showAll="0" includeNewItemsInFilter="1"/>
    <pivotField compact="0" numFmtId="14" outline="0" subtotalTop="0" showAll="0" includeNewItemsInFilter="1"/>
    <pivotField axis="axisRow" compact="0" outline="0" subtotalTop="0" showAll="0" includeNewItemsInFilter="1">
      <items count="23">
        <item x="3"/>
        <item m="1" x="16"/>
        <item x="15"/>
        <item x="8"/>
        <item x="9"/>
        <item m="1" x="17"/>
        <item x="10"/>
        <item m="1" x="18"/>
        <item x="7"/>
        <item x="6"/>
        <item m="1" x="20"/>
        <item x="0"/>
        <item x="1"/>
        <item m="1" x="19"/>
        <item x="5"/>
        <item m="1" x="21"/>
        <item x="11"/>
        <item x="12"/>
        <item x="13"/>
        <item x="14"/>
        <item x="2"/>
        <item x="4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numFmtId="164" outline="0" subtotalTop="0" showAll="0" includeNewItemsInFilter="1"/>
    <pivotField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compact="0" numFmtId="164" outline="0" showAll="0"/>
    <pivotField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/>
  </pivotFields>
  <rowFields count="2">
    <field x="3"/>
    <field x="-2"/>
  </rowFields>
  <rowItems count="119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t="grand">
      <x/>
    </i>
    <i t="grand" i="1">
      <x/>
    </i>
    <i t="grand" i="2">
      <x/>
    </i>
    <i t="grand" i="3">
      <x/>
    </i>
    <i t="grand" i="4">
      <x/>
    </i>
    <i t="grand" i="5">
      <x/>
    </i>
    <i t="grand" i="6">
      <x/>
    </i>
  </rowItems>
  <colFields count="1">
    <field x="0"/>
  </colFields>
  <colItems count="13"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 t="grand">
      <x/>
    </i>
  </colItems>
  <dataFields count="7">
    <dataField name="Sum of True-Up Charge" fld="8" baseField="0" baseItem="0"/>
    <dataField name="Sum of True-Up w/o Interest" fld="10" baseField="0" baseItem="0"/>
    <dataField name="Sum of Interest" fld="11" baseField="0" baseItem="0"/>
    <dataField name="Sum of Total True-up" fld="16" baseField="0" baseItem="0"/>
    <dataField name="Sum of Invoiced*** Charge (proj.)" fld="9" baseField="0" baseItem="0"/>
    <dataField name="Sum of Tax True Up Billing" fld="14" baseField="0" baseItem="0"/>
    <dataField name="Sum of Tax True Up" fld="15" baseField="0" baseItem="0"/>
  </dataFields>
  <formats count="171">
    <format dxfId="170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0"/>
          </reference>
        </references>
      </pivotArea>
    </format>
    <format dxfId="169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0"/>
          </reference>
        </references>
      </pivotArea>
    </format>
    <format dxfId="168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"/>
          </reference>
        </references>
      </pivotArea>
    </format>
    <format dxfId="167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2"/>
          </reference>
        </references>
      </pivotArea>
    </format>
    <format dxfId="166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3"/>
          </reference>
        </references>
      </pivotArea>
    </format>
    <format dxfId="165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4"/>
          </reference>
        </references>
      </pivotArea>
    </format>
    <format dxfId="164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5"/>
          </reference>
        </references>
      </pivotArea>
    </format>
    <format dxfId="163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6"/>
          </reference>
        </references>
      </pivotArea>
    </format>
    <format dxfId="162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7"/>
          </reference>
        </references>
      </pivotArea>
    </format>
    <format dxfId="161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8"/>
          </reference>
        </references>
      </pivotArea>
    </format>
    <format dxfId="160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9"/>
          </reference>
        </references>
      </pivotArea>
    </format>
    <format dxfId="159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0"/>
          </reference>
        </references>
      </pivotArea>
    </format>
    <format dxfId="158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1"/>
          </reference>
        </references>
      </pivotArea>
    </format>
    <format dxfId="157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2"/>
          </reference>
        </references>
      </pivotArea>
    </format>
    <format dxfId="156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3"/>
          </reference>
        </references>
      </pivotArea>
    </format>
    <format dxfId="155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4"/>
          </reference>
        </references>
      </pivotArea>
    </format>
    <format dxfId="154">
      <pivotArea field="3" grandRow="1" outline="0" axis="axisRow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153">
      <pivotArea outline="0" fieldPosition="0">
        <references count="3">
          <reference field="4294967294" count="1" selected="0">
            <x v="2"/>
          </reference>
          <reference field="0" count="1" selected="0">
            <x v="60"/>
          </reference>
          <reference field="3" count="1" selected="0">
            <x v="20"/>
          </reference>
        </references>
      </pivotArea>
    </format>
    <format dxfId="152">
      <pivotArea outline="0" fieldPosition="0">
        <references count="3">
          <reference field="4294967294" count="1" selected="0">
            <x v="3"/>
          </reference>
          <reference field="0" count="1" selected="0">
            <x v="60"/>
          </reference>
          <reference field="3" count="1" selected="0">
            <x v="20"/>
          </reference>
        </references>
      </pivotArea>
    </format>
    <format dxfId="151">
      <pivotArea grandRow="1" grandCol="1" outline="0" fieldPosition="0">
        <references count="1">
          <reference field="4294967294" count="5" selected="0">
            <x v="0"/>
            <x v="1"/>
            <x v="2"/>
            <x v="3"/>
            <x v="4"/>
          </reference>
        </references>
      </pivotArea>
    </format>
    <format dxfId="150">
      <pivotArea outline="0" fieldPosition="0"/>
    </format>
    <format dxfId="149">
      <pivotArea type="all" dataOnly="0" outline="0" fieldPosition="0"/>
    </format>
    <format dxfId="148">
      <pivotArea outline="0" fieldPosition="0"/>
    </format>
    <format dxfId="147">
      <pivotArea type="origin" dataOnly="0" labelOnly="1" outline="0" fieldPosition="0"/>
    </format>
    <format dxfId="146">
      <pivotArea field="0" type="button" dataOnly="0" labelOnly="1" outline="0" axis="axisCol" fieldPosition="0"/>
    </format>
    <format dxfId="145">
      <pivotArea type="topRight" dataOnly="0" labelOnly="1" outline="0" fieldPosition="0"/>
    </format>
    <format dxfId="144">
      <pivotArea field="3" type="button" dataOnly="0" labelOnly="1" outline="0" axis="axisRow" fieldPosition="0"/>
    </format>
    <format dxfId="143">
      <pivotArea field="-2" type="button" dataOnly="0" labelOnly="1" outline="0" axis="axisRow" fieldPosition="1"/>
    </format>
    <format dxfId="142">
      <pivotArea dataOnly="0" labelOnly="1" outline="0" fieldPosition="0">
        <references count="1">
          <reference field="3" count="0"/>
        </references>
      </pivotArea>
    </format>
    <format dxfId="141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40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39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38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37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36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35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34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33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32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31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30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29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28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27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26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25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24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23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22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21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20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19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18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17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16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15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14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13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12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11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10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09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08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07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06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05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04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03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02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01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00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99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98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97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96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95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94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93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9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0"/>
          </reference>
        </references>
      </pivotArea>
    </format>
    <format dxfId="9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"/>
          </reference>
        </references>
      </pivotArea>
    </format>
    <format dxfId="9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3"/>
          </reference>
        </references>
      </pivotArea>
    </format>
    <format dxfId="8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4"/>
          </reference>
        </references>
      </pivotArea>
    </format>
    <format dxfId="8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6"/>
          </reference>
        </references>
      </pivotArea>
    </format>
    <format dxfId="8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8"/>
          </reference>
        </references>
      </pivotArea>
    </format>
    <format dxfId="8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9"/>
          </reference>
        </references>
      </pivotArea>
    </format>
    <format dxfId="8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4"/>
          </reference>
        </references>
      </pivotArea>
    </format>
    <format dxfId="8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6"/>
          </reference>
        </references>
      </pivotArea>
    </format>
    <format dxfId="8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7"/>
          </reference>
        </references>
      </pivotArea>
    </format>
    <format dxfId="8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7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9"/>
          </reference>
        </references>
      </pivotArea>
    </format>
    <format dxfId="7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0"/>
          </reference>
        </references>
      </pivotArea>
    </format>
    <format dxfId="7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1"/>
          </reference>
        </references>
      </pivotArea>
    </format>
    <format dxfId="76">
      <pivotArea dataOnly="0" labelOnly="1" outline="0" fieldPosition="0">
        <references count="1">
          <reference field="0" count="0"/>
        </references>
      </pivotArea>
    </format>
    <format dxfId="75">
      <pivotArea dataOnly="0" labelOnly="1" grandCol="1" outline="0" fieldPosition="0"/>
    </format>
    <format dxfId="74">
      <pivotArea type="all" dataOnly="0" outline="0" fieldPosition="0"/>
    </format>
    <format dxfId="73">
      <pivotArea outline="0" fieldPosition="0"/>
    </format>
    <format dxfId="72">
      <pivotArea type="origin" dataOnly="0" labelOnly="1" outline="0" fieldPosition="0"/>
    </format>
    <format dxfId="71">
      <pivotArea field="0" type="button" dataOnly="0" labelOnly="1" outline="0" axis="axisCol" fieldPosition="0"/>
    </format>
    <format dxfId="70">
      <pivotArea type="topRight" dataOnly="0" labelOnly="1" outline="0" fieldPosition="0"/>
    </format>
    <format dxfId="69">
      <pivotArea field="3" type="button" dataOnly="0" labelOnly="1" outline="0" axis="axisRow" fieldPosition="0"/>
    </format>
    <format dxfId="68">
      <pivotArea field="-2" type="button" dataOnly="0" labelOnly="1" outline="0" axis="axisRow" fieldPosition="1"/>
    </format>
    <format dxfId="67">
      <pivotArea dataOnly="0" labelOnly="1" outline="0" fieldPosition="0">
        <references count="1">
          <reference field="3" count="0"/>
        </references>
      </pivotArea>
    </format>
    <format dxfId="66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65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64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63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62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61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60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59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58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57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56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55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54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53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52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51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50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49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48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47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46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45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44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43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42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41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40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39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38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37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36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35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34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33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32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31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30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29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28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27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26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25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24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23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22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21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20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9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8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0"/>
          </reference>
        </references>
      </pivotArea>
    </format>
    <format dxfId="1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"/>
          </reference>
        </references>
      </pivotArea>
    </format>
    <format dxfId="1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3"/>
          </reference>
        </references>
      </pivotArea>
    </format>
    <format dxfId="1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4"/>
          </reference>
        </references>
      </pivotArea>
    </format>
    <format dxfId="1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6"/>
          </reference>
        </references>
      </pivotArea>
    </format>
    <format dxfId="1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8"/>
          </reference>
        </references>
      </pivotArea>
    </format>
    <format dxfId="1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9"/>
          </reference>
        </references>
      </pivotArea>
    </format>
    <format dxfId="1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1"/>
          </reference>
        </references>
      </pivotArea>
    </format>
    <format dxfId="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2"/>
          </reference>
        </references>
      </pivotArea>
    </format>
    <format dxfId="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4"/>
          </reference>
        </references>
      </pivotArea>
    </format>
    <format dxfId="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6"/>
          </reference>
        </references>
      </pivotArea>
    </format>
    <format dxfId="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7"/>
          </reference>
        </references>
      </pivotArea>
    </format>
    <format dxfId="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9"/>
          </reference>
        </references>
      </pivotArea>
    </format>
    <format dxfId="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0"/>
          </reference>
        </references>
      </pivotArea>
    </format>
    <format dxfId="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1"/>
          </reference>
        </references>
      </pivotArea>
    </format>
    <format dxfId="1">
      <pivotArea dataOnly="0" labelOnly="1" outline="0" fieldPosition="0">
        <references count="1">
          <reference field="0" count="0"/>
        </references>
      </pivotArea>
    </format>
    <format dxfId="0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6"/>
  <sheetViews>
    <sheetView workbookViewId="0">
      <selection activeCell="R18" sqref="A1:R18"/>
    </sheetView>
  </sheetViews>
  <sheetFormatPr defaultColWidth="8.7109375" defaultRowHeight="12.75" x14ac:dyDescent="0.2"/>
  <sheetData>
    <row r="1" spans="1:2" x14ac:dyDescent="0.2">
      <c r="A1" t="s">
        <v>63</v>
      </c>
    </row>
    <row r="3" spans="1:2" x14ac:dyDescent="0.2">
      <c r="A3">
        <v>1</v>
      </c>
      <c r="B3" s="1" t="s">
        <v>65</v>
      </c>
    </row>
    <row r="4" spans="1:2" x14ac:dyDescent="0.2">
      <c r="A4">
        <v>2</v>
      </c>
      <c r="B4" s="1" t="s">
        <v>64</v>
      </c>
    </row>
    <row r="5" spans="1:2" x14ac:dyDescent="0.2">
      <c r="A5">
        <v>3</v>
      </c>
      <c r="B5" s="1" t="s">
        <v>66</v>
      </c>
    </row>
    <row r="6" spans="1:2" x14ac:dyDescent="0.2">
      <c r="A6">
        <v>4</v>
      </c>
      <c r="B6" s="2" t="s">
        <v>80</v>
      </c>
    </row>
    <row r="7" spans="1:2" x14ac:dyDescent="0.2">
      <c r="A7">
        <v>5</v>
      </c>
      <c r="B7" s="1" t="s">
        <v>67</v>
      </c>
    </row>
    <row r="8" spans="1:2" x14ac:dyDescent="0.2">
      <c r="A8">
        <v>6</v>
      </c>
      <c r="B8" s="1" t="s">
        <v>68</v>
      </c>
    </row>
    <row r="9" spans="1:2" x14ac:dyDescent="0.2">
      <c r="A9">
        <v>7</v>
      </c>
      <c r="B9" s="3" t="s">
        <v>69</v>
      </c>
    </row>
    <row r="10" spans="1:2" x14ac:dyDescent="0.2">
      <c r="A10">
        <v>8</v>
      </c>
      <c r="B10" s="1" t="s">
        <v>72</v>
      </c>
    </row>
    <row r="11" spans="1:2" x14ac:dyDescent="0.2">
      <c r="B11" s="1" t="s">
        <v>73</v>
      </c>
    </row>
    <row r="12" spans="1:2" x14ac:dyDescent="0.2">
      <c r="B12" s="3" t="s">
        <v>74</v>
      </c>
    </row>
    <row r="13" spans="1:2" x14ac:dyDescent="0.2">
      <c r="B13" s="3" t="s">
        <v>75</v>
      </c>
    </row>
    <row r="14" spans="1:2" x14ac:dyDescent="0.2">
      <c r="A14">
        <v>9</v>
      </c>
      <c r="B14" s="1" t="s">
        <v>76</v>
      </c>
    </row>
    <row r="15" spans="1:2" x14ac:dyDescent="0.2">
      <c r="A15">
        <v>10</v>
      </c>
      <c r="B15" s="1" t="s">
        <v>78</v>
      </c>
    </row>
    <row r="16" spans="1:2" x14ac:dyDescent="0.2">
      <c r="A16">
        <v>11</v>
      </c>
      <c r="B16" s="1" t="s">
        <v>79</v>
      </c>
    </row>
  </sheetData>
  <phoneticPr fontId="6" type="noConversion"/>
  <pageMargins left="0.75" right="0.75" top="1" bottom="1" header="0.5" footer="0.5"/>
  <pageSetup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41"/>
  <sheetViews>
    <sheetView tabSelected="1" zoomScale="85" zoomScaleNormal="85" zoomScaleSheetLayoutView="100" workbookViewId="0">
      <selection activeCell="K10" sqref="K10"/>
    </sheetView>
  </sheetViews>
  <sheetFormatPr defaultColWidth="33.28515625" defaultRowHeight="12.75" x14ac:dyDescent="0.2"/>
  <cols>
    <col min="1" max="1" width="9.140625" customWidth="1"/>
    <col min="2" max="2" width="14" customWidth="1"/>
    <col min="3" max="3" width="21.85546875" customWidth="1"/>
    <col min="4" max="4" width="15.5703125" customWidth="1"/>
    <col min="5" max="5" width="16.140625" customWidth="1"/>
    <col min="6" max="8" width="14" customWidth="1"/>
    <col min="9" max="9" width="15.85546875" customWidth="1"/>
    <col min="10" max="14" width="14" customWidth="1"/>
    <col min="15" max="15" width="15" customWidth="1"/>
    <col min="16" max="108" width="31.7109375" customWidth="1"/>
    <col min="109" max="109" width="11.42578125" customWidth="1"/>
  </cols>
  <sheetData>
    <row r="1" spans="2:17" x14ac:dyDescent="0.2">
      <c r="C1" s="219" t="str">
        <f>+Transactions!B1</f>
        <v>AEPTCo Formula Rate -- FERC Docket ER18-195</v>
      </c>
      <c r="D1" s="219"/>
      <c r="E1" s="219"/>
      <c r="F1" s="219"/>
      <c r="G1" s="219"/>
      <c r="H1" s="219"/>
      <c r="I1" s="219"/>
      <c r="J1" s="4">
        <v>2025</v>
      </c>
    </row>
    <row r="2" spans="2:17" x14ac:dyDescent="0.2">
      <c r="C2" s="219" t="s">
        <v>36</v>
      </c>
      <c r="D2" s="219"/>
      <c r="E2" s="219"/>
      <c r="F2" s="219"/>
      <c r="G2" s="219"/>
      <c r="H2" s="219"/>
      <c r="I2" s="219"/>
    </row>
    <row r="3" spans="2:17" x14ac:dyDescent="0.2">
      <c r="C3" s="219" t="str">
        <f>"for period 01/01/"&amp;F8&amp;" - 12/31/"&amp;F8</f>
        <v>for period 01/01/2025 - 12/31/2025</v>
      </c>
      <c r="D3" s="219"/>
      <c r="E3" s="219"/>
      <c r="F3" s="219"/>
      <c r="G3" s="219"/>
      <c r="H3" s="219"/>
      <c r="I3" s="219"/>
    </row>
    <row r="4" spans="2:17" x14ac:dyDescent="0.2">
      <c r="C4" s="219" t="s">
        <v>99</v>
      </c>
      <c r="D4" s="219"/>
      <c r="E4" s="219"/>
      <c r="F4" s="219"/>
      <c r="G4" s="219"/>
      <c r="H4" s="219"/>
      <c r="I4" s="219"/>
    </row>
    <row r="5" spans="2:17" x14ac:dyDescent="0.2">
      <c r="C5" s="5" t="str">
        <f>"Prepared:  May 22_, "&amp;J1+1&amp;""</f>
        <v>Prepared:  May 22_, 2026</v>
      </c>
      <c r="D5" s="6"/>
    </row>
    <row r="6" spans="2:17" x14ac:dyDescent="0.2">
      <c r="C6" s="7"/>
    </row>
    <row r="7" spans="2:17" x14ac:dyDescent="0.2">
      <c r="C7" s="8"/>
    </row>
    <row r="8" spans="2:17" ht="27.75" customHeight="1" thickBot="1" x14ac:dyDescent="0.25">
      <c r="F8" s="9">
        <v>2025</v>
      </c>
    </row>
    <row r="9" spans="2:17" ht="20.25" customHeight="1" x14ac:dyDescent="0.2">
      <c r="E9" s="10" t="s">
        <v>93</v>
      </c>
      <c r="F9" s="11"/>
      <c r="G9" s="12"/>
      <c r="H9" s="13"/>
    </row>
    <row r="10" spans="2:17" ht="42" customHeight="1" thickBot="1" x14ac:dyDescent="0.25">
      <c r="B10" s="14"/>
      <c r="E10" s="15" t="str">
        <f>"(per "&amp;$F8&amp;" Projections "&amp;$F8&amp;")"</f>
        <v>(per 2025 Projections 2025)</v>
      </c>
      <c r="F10" s="16" t="str">
        <f>"(per "&amp;F8&amp;" Update of May "&amp;F8+1&amp;")"</f>
        <v>(per 2025 Update of May 2026)</v>
      </c>
      <c r="G10" s="17"/>
      <c r="H10" s="16"/>
    </row>
    <row r="11" spans="2:17" ht="21.75" customHeight="1" x14ac:dyDescent="0.2">
      <c r="B11" s="18"/>
      <c r="C11" s="19" t="s">
        <v>39</v>
      </c>
      <c r="D11" s="20" t="s">
        <v>37</v>
      </c>
      <c r="E11" s="21">
        <f>Transactions!K2</f>
        <v>980569.51054498542</v>
      </c>
      <c r="F11" s="22"/>
      <c r="G11" s="23"/>
      <c r="H11" s="24"/>
    </row>
    <row r="12" spans="2:17" ht="21.75" customHeight="1" x14ac:dyDescent="0.2">
      <c r="B12" s="18"/>
      <c r="C12" s="25"/>
      <c r="D12" s="26" t="s">
        <v>42</v>
      </c>
      <c r="E12" s="27"/>
      <c r="F12" s="28">
        <f>+Transactions!J2</f>
        <v>1094141.7617580374</v>
      </c>
      <c r="G12" s="29"/>
      <c r="H12" s="30"/>
    </row>
    <row r="13" spans="2:17" ht="21.75" customHeight="1" x14ac:dyDescent="0.2">
      <c r="B13" s="31"/>
      <c r="C13" s="32" t="s">
        <v>40</v>
      </c>
      <c r="D13" s="33" t="s">
        <v>38</v>
      </c>
      <c r="E13" s="34">
        <f>Transactions!K3</f>
        <v>9.4686125004343911</v>
      </c>
      <c r="F13" s="30"/>
      <c r="G13" s="35"/>
      <c r="H13" s="36"/>
    </row>
    <row r="14" spans="2:17" ht="21.75" customHeight="1" thickBot="1" x14ac:dyDescent="0.25">
      <c r="B14" s="14"/>
      <c r="C14" s="37"/>
      <c r="D14" s="38" t="s">
        <v>41</v>
      </c>
      <c r="E14" s="39"/>
      <c r="F14" s="40">
        <f>+Transactions!J3</f>
        <v>10.334473961803646</v>
      </c>
      <c r="G14" s="41"/>
      <c r="H14" s="30"/>
    </row>
    <row r="15" spans="2:17" x14ac:dyDescent="0.2">
      <c r="B15" s="18"/>
    </row>
    <row r="16" spans="2:17" x14ac:dyDescent="0.2">
      <c r="B16" s="31"/>
      <c r="C16" s="31"/>
      <c r="D16" s="42"/>
      <c r="E16" s="31"/>
      <c r="F16" s="43"/>
      <c r="G16" s="44"/>
      <c r="H16" s="44"/>
      <c r="M16" s="46"/>
      <c r="N16" s="46"/>
      <c r="O16" s="46"/>
      <c r="P16" s="46"/>
      <c r="Q16" s="46"/>
    </row>
    <row r="17" spans="2:17" x14ac:dyDescent="0.2">
      <c r="C17" s="8"/>
      <c r="L17" s="1"/>
      <c r="M17" s="46"/>
      <c r="N17" s="46"/>
      <c r="O17" s="46"/>
      <c r="P17" s="46"/>
      <c r="Q17" s="46"/>
    </row>
    <row r="18" spans="2:17" x14ac:dyDescent="0.2">
      <c r="M18" s="46"/>
      <c r="N18" s="46"/>
      <c r="O18" s="46"/>
      <c r="P18" s="46"/>
      <c r="Q18" s="46"/>
    </row>
    <row r="19" spans="2:17" ht="21" customHeight="1" thickBot="1" x14ac:dyDescent="0.25">
      <c r="C19" s="47" t="s">
        <v>31</v>
      </c>
      <c r="D19" s="47" t="s">
        <v>32</v>
      </c>
      <c r="E19" s="48" t="s">
        <v>33</v>
      </c>
      <c r="F19" s="48" t="s">
        <v>34</v>
      </c>
      <c r="G19" s="47" t="s">
        <v>35</v>
      </c>
      <c r="H19" s="47" t="s">
        <v>92</v>
      </c>
      <c r="I19" s="48" t="s">
        <v>91</v>
      </c>
      <c r="M19" s="46"/>
      <c r="N19" s="46"/>
      <c r="O19" s="46"/>
      <c r="P19" s="46"/>
      <c r="Q19" s="46"/>
    </row>
    <row r="20" spans="2:17" ht="53.25" customHeight="1" x14ac:dyDescent="0.2">
      <c r="C20" s="49" t="s">
        <v>50</v>
      </c>
      <c r="D20" s="50" t="str">
        <f>"Actual Charge
("&amp;F8&amp;" True-Up)"</f>
        <v>Actual Charge
(2025 True-Up)</v>
      </c>
      <c r="E20" s="51" t="str">
        <f>"Invoiced for
CY"&amp;F8&amp;" Transmission Service"</f>
        <v>Invoiced for
CY2025 Transmission Service</v>
      </c>
      <c r="F20" s="50" t="s">
        <v>96</v>
      </c>
      <c r="G20" s="52" t="s">
        <v>97</v>
      </c>
      <c r="H20" s="52" t="s">
        <v>86</v>
      </c>
      <c r="I20" s="192" t="s">
        <v>98</v>
      </c>
      <c r="M20" s="46"/>
      <c r="N20" s="46"/>
      <c r="O20" s="46"/>
      <c r="P20" s="46"/>
      <c r="Q20" s="46"/>
    </row>
    <row r="21" spans="2:17" x14ac:dyDescent="0.2">
      <c r="B21" s="53"/>
      <c r="C21" s="54" t="s">
        <v>14</v>
      </c>
      <c r="D21" s="55">
        <f>GETPIVOTDATA("Sum of "&amp;T(Transactions!$J$19),Pivot!$A$3,"Customer",C21)</f>
        <v>105887.02021264016</v>
      </c>
      <c r="E21" s="55">
        <f>GETPIVOTDATA("Sum of "&amp;T(Transactions!$K$19),Pivot!$A$3,"Customer",C21)</f>
        <v>97015.40367945077</v>
      </c>
      <c r="F21" s="55">
        <f>D21-E21</f>
        <v>8871.6165331893862</v>
      </c>
      <c r="G21" s="46">
        <f>+GETPIVOTDATA("Sum of "&amp;T(Transactions!$M$19),Pivot!$A$3,"Customer","AECC")</f>
        <v>635.22074581402865</v>
      </c>
      <c r="H21" s="46">
        <f>GETPIVOTDATA("Sum of "&amp;T(Transactions!$Q$19),Pivot!$A$3,"Customer","AECC")</f>
        <v>0</v>
      </c>
      <c r="I21" s="56">
        <f>F21+G21-H21</f>
        <v>9506.8372790034155</v>
      </c>
      <c r="J21" s="53"/>
      <c r="M21" s="46"/>
      <c r="N21" s="46"/>
      <c r="O21" s="46"/>
      <c r="P21" s="46"/>
      <c r="Q21" s="46"/>
    </row>
    <row r="22" spans="2:17" x14ac:dyDescent="0.2">
      <c r="B22" s="53"/>
      <c r="C22" s="57" t="s">
        <v>83</v>
      </c>
      <c r="D22" s="55">
        <f>GETPIVOTDATA("Sum of "&amp;T(Transactions!$J$19),Pivot!$A$3,"Customer",C22)</f>
        <v>5301.5851424052698</v>
      </c>
      <c r="E22" s="55">
        <f>GETPIVOTDATA("Sum of "&amp;T(Transactions!$K$19),Pivot!$A$3,"Customer",C22)</f>
        <v>4857.3982127228428</v>
      </c>
      <c r="F22" s="55">
        <f>D22-E22</f>
        <v>444.18692968242704</v>
      </c>
      <c r="G22" s="46">
        <f>+GETPIVOTDATA("Sum of "&amp;T(Transactions!$M$19),Pivot!$A$3,"Customer","AECI")</f>
        <v>31.80443515543595</v>
      </c>
      <c r="H22" s="46">
        <f>GETPIVOTDATA("Sum of "&amp;T(Transactions!$Q$19),Pivot!$A$3,"Customer",C22)</f>
        <v>0</v>
      </c>
      <c r="I22" s="56">
        <f t="shared" ref="I22:I33" si="0">F22+G22-H22</f>
        <v>475.99136483786299</v>
      </c>
      <c r="J22" s="53"/>
      <c r="M22" s="46"/>
      <c r="N22" s="46"/>
      <c r="O22" s="46"/>
      <c r="P22" s="46"/>
      <c r="Q22" s="46"/>
    </row>
    <row r="23" spans="2:17" x14ac:dyDescent="0.2">
      <c r="B23" s="53"/>
      <c r="C23" s="57" t="s">
        <v>54</v>
      </c>
      <c r="D23" s="55">
        <f>GETPIVOTDATA("Sum of "&amp;T(Transactions!$J$19),Pivot!$A$3,"Customer",C23)</f>
        <v>17837.302058073092</v>
      </c>
      <c r="E23" s="55">
        <f>GETPIVOTDATA("Sum of "&amp;T(Transactions!$K$19),Pivot!$A$3,"Customer",C23)</f>
        <v>16342.82517574976</v>
      </c>
      <c r="F23" s="55">
        <f t="shared" ref="F23:F35" si="1">D23-E23</f>
        <v>1494.4768823233317</v>
      </c>
      <c r="G23" s="46">
        <f>+GETPIVOTDATA("Sum of "&amp;T(Transactions!$M$19),Pivot!$A$3,"Customer","Bentonville, AR")</f>
        <v>107.0067350453849</v>
      </c>
      <c r="H23" s="46">
        <f>GETPIVOTDATA("Sum of "&amp;T(Transactions!$Q$19),Pivot!$A$3,"Customer",C23)</f>
        <v>0</v>
      </c>
      <c r="I23" s="56">
        <f t="shared" si="0"/>
        <v>1601.4836173687165</v>
      </c>
      <c r="J23" s="53"/>
      <c r="M23" s="46"/>
      <c r="N23" s="46"/>
      <c r="O23" s="46"/>
      <c r="P23" s="46"/>
      <c r="Q23" s="46"/>
    </row>
    <row r="24" spans="2:17" x14ac:dyDescent="0.2">
      <c r="B24" s="53"/>
      <c r="C24" s="54" t="s">
        <v>17</v>
      </c>
      <c r="D24" s="55">
        <f>GETPIVOTDATA("Sum of "&amp;T(Transactions!$J$19),Pivot!$A$3,"Customer",C24)</f>
        <v>12039.662165501248</v>
      </c>
      <c r="E24" s="55">
        <f>GETPIVOTDATA("Sum of "&amp;T(Transactions!$K$19),Pivot!$A$3,"Customer",C24)</f>
        <v>11030.933563006065</v>
      </c>
      <c r="F24" s="55">
        <f t="shared" si="1"/>
        <v>1008.7286024951827</v>
      </c>
      <c r="G24" s="46">
        <f>+GETPIVOTDATA("Sum of "&amp;T(Transactions!$M$19),Pivot!$A$3,"Customer","Coffeyville, KS")</f>
        <v>72.226446308153768</v>
      </c>
      <c r="H24" s="46">
        <f>GETPIVOTDATA("Sum of "&amp;T(Transactions!$Q$19),Pivot!$A$3,"Customer",C24)</f>
        <v>0</v>
      </c>
      <c r="I24" s="56">
        <f t="shared" si="0"/>
        <v>1080.9550488033365</v>
      </c>
      <c r="J24" s="53"/>
      <c r="M24" s="46"/>
      <c r="N24" s="46"/>
      <c r="O24" s="46"/>
      <c r="P24" s="46"/>
      <c r="Q24" s="46"/>
    </row>
    <row r="25" spans="2:17" x14ac:dyDescent="0.2">
      <c r="B25" s="53"/>
      <c r="C25" s="57" t="s">
        <v>13</v>
      </c>
      <c r="D25" s="55">
        <f>GETPIVOTDATA("Sum of "&amp;T(Transactions!$J$19),Pivot!$A$3,"Customer",C25)</f>
        <v>114433.63017905178</v>
      </c>
      <c r="E25" s="55">
        <f>GETPIVOTDATA("Sum of "&amp;T(Transactions!$K$19),Pivot!$A$3,"Customer",C25)</f>
        <v>104845.94621731</v>
      </c>
      <c r="F25" s="55">
        <f t="shared" si="1"/>
        <v>9587.6839617417718</v>
      </c>
      <c r="G25" s="46">
        <f>+GETPIVOTDATA("Sum of "&amp;T(Transactions!$M$19),Pivot!$A$3,"Customer","ETEC")</f>
        <v>686.4922231503748</v>
      </c>
      <c r="H25" s="46">
        <f>GETPIVOTDATA("Sum of "&amp;T(Transactions!$Q$19),Pivot!$A$3,"Customer",C25)</f>
        <v>0</v>
      </c>
      <c r="I25" s="56">
        <f t="shared" si="0"/>
        <v>10274.176184892147</v>
      </c>
      <c r="J25" s="53"/>
      <c r="L25" s="1"/>
      <c r="M25" s="46"/>
      <c r="N25" s="46"/>
      <c r="O25" s="46"/>
      <c r="P25" s="46"/>
      <c r="Q25" s="46"/>
    </row>
    <row r="26" spans="2:17" x14ac:dyDescent="0.2">
      <c r="B26" s="53"/>
      <c r="C26" s="54" t="s">
        <v>15</v>
      </c>
      <c r="D26" s="55">
        <f>GETPIVOTDATA("Sum of "&amp;T(Transactions!$J$19),Pivot!$A$3,"Customer",C26)</f>
        <v>1054.1163441039719</v>
      </c>
      <c r="E26" s="55">
        <f>GETPIVOTDATA("Sum of "&amp;T(Transactions!$K$19),Pivot!$A$3,"Customer",C26)</f>
        <v>965.79847504430791</v>
      </c>
      <c r="F26" s="55">
        <f t="shared" si="1"/>
        <v>88.317869059663963</v>
      </c>
      <c r="G26" s="46">
        <f>+GETPIVOTDATA("Sum of "&amp;T(Transactions!$M$19),Pivot!$A$3,"Customer","Greenbelt")</f>
        <v>6.3236888613147499</v>
      </c>
      <c r="H26" s="46">
        <f>GETPIVOTDATA("Sum of "&amp;T(Transactions!$Q$19),Pivot!$A$3,"Customer",C26)</f>
        <v>0</v>
      </c>
      <c r="I26" s="56">
        <f t="shared" si="0"/>
        <v>94.641557920978713</v>
      </c>
      <c r="J26" s="53"/>
      <c r="K26" s="58"/>
      <c r="L26" s="58"/>
      <c r="M26" s="58"/>
      <c r="N26" s="58"/>
      <c r="O26" s="46"/>
      <c r="P26" s="46"/>
      <c r="Q26" s="46"/>
    </row>
    <row r="27" spans="2:17" x14ac:dyDescent="0.2">
      <c r="B27" s="53"/>
      <c r="C27" s="54" t="s">
        <v>57</v>
      </c>
      <c r="D27" s="55">
        <f>GETPIVOTDATA("Sum of "&amp;T(Transactions!$J$19),Pivot!$A$3,"Customer",C27)</f>
        <v>4991.5509235511608</v>
      </c>
      <c r="E27" s="55">
        <f>GETPIVOTDATA("Sum of "&amp;T(Transactions!$K$19),Pivot!$A$3,"Customer",C27)</f>
        <v>4573.339837709811</v>
      </c>
      <c r="F27" s="55">
        <f t="shared" si="1"/>
        <v>418.21108584134981</v>
      </c>
      <c r="G27" s="46">
        <f>+GETPIVOTDATA("Sum of "&amp;T(Transactions!$M$19),Pivot!$A$3,"Customer","Hope, AR")</f>
        <v>29.94452666681396</v>
      </c>
      <c r="H27" s="46">
        <f>GETPIVOTDATA("Sum of "&amp;T(Transactions!$Q$19),Pivot!$A$3,"Customer",C27)</f>
        <v>0</v>
      </c>
      <c r="I27" s="56">
        <f t="shared" si="0"/>
        <v>448.15561250816376</v>
      </c>
      <c r="J27" s="53"/>
      <c r="K27" s="58"/>
      <c r="L27" s="58"/>
      <c r="M27" s="58"/>
      <c r="N27" s="58"/>
      <c r="O27" s="46"/>
      <c r="P27" s="46"/>
      <c r="Q27" s="46"/>
    </row>
    <row r="28" spans="2:17" x14ac:dyDescent="0.2">
      <c r="B28" s="53"/>
      <c r="C28" s="54" t="s">
        <v>16</v>
      </c>
      <c r="D28" s="55">
        <f>GETPIVOTDATA("Sum of "&amp;T(Transactions!$J$19),Pivot!$A$3,"Customer",C28)</f>
        <v>341.03764073952033</v>
      </c>
      <c r="E28" s="55">
        <f>GETPIVOTDATA("Sum of "&amp;T(Transactions!$K$19),Pivot!$A$3,"Customer",C28)</f>
        <v>312.46421251433492</v>
      </c>
      <c r="F28" s="55">
        <f t="shared" si="1"/>
        <v>28.57342822518541</v>
      </c>
      <c r="G28" s="46">
        <f>+GETPIVOTDATA("Sum of "&amp;T(Transactions!$M$19),Pivot!$A$3,"Customer","Lighthouse")</f>
        <v>2.0458993374841841</v>
      </c>
      <c r="H28" s="46">
        <f>GETPIVOTDATA("Sum of "&amp;T(Transactions!$Q$19),Pivot!$A$3,"Customer",C28)</f>
        <v>0</v>
      </c>
      <c r="I28" s="56">
        <f t="shared" si="0"/>
        <v>30.619327562669593</v>
      </c>
      <c r="J28" s="53"/>
      <c r="M28" s="46"/>
      <c r="N28" s="46"/>
      <c r="O28" s="46"/>
      <c r="P28" s="46"/>
      <c r="Q28" s="46"/>
    </row>
    <row r="29" spans="2:17" x14ac:dyDescent="0.2">
      <c r="B29" s="53"/>
      <c r="C29" s="57" t="s">
        <v>56</v>
      </c>
      <c r="D29" s="55">
        <f>GETPIVOTDATA("Sum of "&amp;T(Transactions!$J$19),Pivot!$A$3,"Customer",C29)</f>
        <v>0</v>
      </c>
      <c r="E29" s="55">
        <f>GETPIVOTDATA("Sum of "&amp;T(Transactions!$K$19),Pivot!$A$3,"Customer",C29)</f>
        <v>0</v>
      </c>
      <c r="F29" s="55">
        <f t="shared" si="1"/>
        <v>0</v>
      </c>
      <c r="G29" s="46">
        <f>+GETPIVOTDATA("Sum of "&amp;T(Transactions!$M$19),Pivot!$A$3,"Customer","Minden, LA")</f>
        <v>0</v>
      </c>
      <c r="H29" s="46">
        <f>GETPIVOTDATA("Sum of "&amp;T(Transactions!$Q$19),Pivot!$A$3,"Customer",C29)</f>
        <v>0</v>
      </c>
      <c r="I29" s="56">
        <f t="shared" si="0"/>
        <v>0</v>
      </c>
      <c r="J29" s="53"/>
      <c r="M29" s="46"/>
      <c r="N29" s="46"/>
      <c r="O29" s="46"/>
      <c r="P29" s="46"/>
      <c r="Q29" s="46"/>
    </row>
    <row r="30" spans="2:17" x14ac:dyDescent="0.2">
      <c r="B30" s="53"/>
      <c r="C30" s="57" t="s">
        <v>19</v>
      </c>
      <c r="D30" s="55">
        <f>GETPIVOTDATA("Sum of "&amp;T(Transactions!$J$19),Pivot!$A$3,"Customer",C30)</f>
        <v>7709.5175755055207</v>
      </c>
      <c r="E30" s="55">
        <f>GETPIVOTDATA("Sum of "&amp;T(Transactions!$K$19),Pivot!$A$3,"Customer",C30)</f>
        <v>7063.5849253240558</v>
      </c>
      <c r="F30" s="55">
        <f t="shared" si="1"/>
        <v>645.93265018146485</v>
      </c>
      <c r="G30" s="46">
        <f>+GETPIVOTDATA("Sum of "&amp;T(Transactions!$M$19),Pivot!$A$3,"Customer","OG&amp;E")</f>
        <v>46.249724417066702</v>
      </c>
      <c r="H30" s="46">
        <f>GETPIVOTDATA("Sum of "&amp;T(Transactions!$Q$19),Pivot!$A$3,"Customer",C30)</f>
        <v>0</v>
      </c>
      <c r="I30" s="56">
        <f t="shared" si="0"/>
        <v>692.18237459853151</v>
      </c>
      <c r="J30" s="53"/>
    </row>
    <row r="31" spans="2:17" x14ac:dyDescent="0.2">
      <c r="B31" s="53"/>
      <c r="C31" s="54" t="s">
        <v>8</v>
      </c>
      <c r="D31" s="55">
        <f>GETPIVOTDATA("Sum of "&amp;T(Transactions!$J$19),Pivot!$A$3,"Customer",C31)</f>
        <v>12825.082186598323</v>
      </c>
      <c r="E31" s="55">
        <f>GETPIVOTDATA("Sum of "&amp;T(Transactions!$K$19),Pivot!$A$3,"Customer",C31)</f>
        <v>11750.548113039078</v>
      </c>
      <c r="F31" s="55">
        <f t="shared" si="1"/>
        <v>1074.5340735592454</v>
      </c>
      <c r="G31" s="46">
        <f>+GETPIVOTDATA("Sum of "&amp;T(Transactions!$M$19),Pivot!$A$3,"Customer","OMPA")</f>
        <v>76.938214479329474</v>
      </c>
      <c r="H31" s="46">
        <f>GETPIVOTDATA("Sum of "&amp;T(Transactions!$Q$19),Pivot!$A$3,"Customer",C31)</f>
        <v>0</v>
      </c>
      <c r="I31" s="56">
        <f t="shared" si="0"/>
        <v>1151.4722880385748</v>
      </c>
      <c r="J31" s="53"/>
    </row>
    <row r="32" spans="2:17" x14ac:dyDescent="0.2">
      <c r="B32" s="53"/>
      <c r="C32" s="54" t="s">
        <v>55</v>
      </c>
      <c r="D32" s="55">
        <f>GETPIVOTDATA("Sum of "&amp;T(Transactions!$J$19),Pivot!$A$3,"Customer",C32)</f>
        <v>1312.4781931490631</v>
      </c>
      <c r="E32" s="55">
        <f>GETPIVOTDATA("Sum of "&amp;T(Transactions!$K$19),Pivot!$A$3,"Customer",C32)</f>
        <v>1202.5137875551675</v>
      </c>
      <c r="F32" s="55">
        <f t="shared" si="1"/>
        <v>109.96440559389566</v>
      </c>
      <c r="G32" s="46">
        <f>+GETPIVOTDATA("Sum of "&amp;T(Transactions!$M$19),Pivot!$A$3,"Customer","Prescott, AR")</f>
        <v>7.8736126018330719</v>
      </c>
      <c r="H32" s="46">
        <f>GETPIVOTDATA("Sum of "&amp;T(Transactions!$Q$19),Pivot!$A$3,"Customer",C32)</f>
        <v>0</v>
      </c>
      <c r="I32" s="56">
        <f t="shared" si="0"/>
        <v>117.83801819572874</v>
      </c>
      <c r="J32" s="53"/>
    </row>
    <row r="33" spans="2:11" x14ac:dyDescent="0.2">
      <c r="B33" s="53"/>
      <c r="C33" s="59" t="s">
        <v>9</v>
      </c>
      <c r="D33" s="55">
        <f>GETPIVOTDATA("Sum of "&amp;T(Transactions!$J$19),Pivot!$A$3,"Customer",C33)</f>
        <v>6696.7391272487621</v>
      </c>
      <c r="E33" s="55">
        <f>GETPIVOTDATA("Sum of "&amp;T(Transactions!$K$19),Pivot!$A$3,"Customer",C33)</f>
        <v>6135.6609002814848</v>
      </c>
      <c r="F33" s="55">
        <f t="shared" si="1"/>
        <v>561.07822696727726</v>
      </c>
      <c r="G33" s="46">
        <f>+GETPIVOTDATA("Sum of "&amp;T(Transactions!$M$19),Pivot!$A$3,"Customer","WFEC")</f>
        <v>40.174023354234876</v>
      </c>
      <c r="H33" s="46">
        <f>GETPIVOTDATA("Sum of "&amp;T(Transactions!$Q$19),Pivot!$A$3,"Customer",C33)</f>
        <v>0</v>
      </c>
      <c r="I33" s="56">
        <f t="shared" si="0"/>
        <v>601.25225032151218</v>
      </c>
      <c r="J33" s="53"/>
    </row>
    <row r="34" spans="2:11" ht="24" x14ac:dyDescent="0.2">
      <c r="C34" s="60" t="s">
        <v>43</v>
      </c>
      <c r="D34" s="61">
        <f t="shared" ref="D34:I34" si="2">SUM(D21:D33)</f>
        <v>290429.72174856788</v>
      </c>
      <c r="E34" s="61">
        <f t="shared" si="2"/>
        <v>266096.4170997077</v>
      </c>
      <c r="F34" s="61">
        <f t="shared" si="2"/>
        <v>24333.304648860187</v>
      </c>
      <c r="G34" s="62">
        <f t="shared" si="2"/>
        <v>1742.3002751914551</v>
      </c>
      <c r="H34" s="62">
        <f t="shared" si="2"/>
        <v>0</v>
      </c>
      <c r="I34" s="63">
        <f t="shared" si="2"/>
        <v>26075.604924051633</v>
      </c>
    </row>
    <row r="35" spans="2:11" x14ac:dyDescent="0.2">
      <c r="C35" s="64" t="s">
        <v>21</v>
      </c>
      <c r="D35" s="55">
        <f>GETPIVOTDATA("Sum of "&amp;T(Transactions!$J$19),Pivot!$A$3,"Customer",C35)</f>
        <v>401907.69237454375</v>
      </c>
      <c r="E35" s="55">
        <f>GETPIVOTDATA("Sum of "&amp;T(Transactions!$K$19),Pivot!$A$3,"Customer",C35)</f>
        <v>368234.34014189348</v>
      </c>
      <c r="F35" s="55">
        <f t="shared" si="1"/>
        <v>33673.352232650272</v>
      </c>
      <c r="G35" s="46">
        <f>+GETPIVOTDATA("Sum of "&amp;T(Transactions!$M$19),Pivot!$A$3,"Customer","PSO")</f>
        <v>2411.0613707502998</v>
      </c>
      <c r="H35" s="46">
        <f>GETPIVOTDATA("Sum of "&amp;T(Transactions!$Q$19),Pivot!$A$3,"Customer",C35)</f>
        <v>0</v>
      </c>
      <c r="I35" s="56">
        <f>F35+G35-H35</f>
        <v>36084.413603400571</v>
      </c>
    </row>
    <row r="36" spans="2:11" x14ac:dyDescent="0.2">
      <c r="C36" s="65" t="s">
        <v>22</v>
      </c>
      <c r="D36" s="55">
        <f>GETPIVOTDATA("Sum of "&amp;T(Transactions!$J$19),Pivot!$A$3,"Customer",C36)</f>
        <v>384184.0695300505</v>
      </c>
      <c r="E36" s="55">
        <f>GETPIVOTDATA("Sum of "&amp;T(Transactions!$K$19),Pivot!$A$3,"Customer",C36)</f>
        <v>351995.66970364848</v>
      </c>
      <c r="F36" s="55">
        <f>D36-E36</f>
        <v>32188.399826402019</v>
      </c>
      <c r="G36" s="46">
        <f>+GETPIVOTDATA("Sum of "&amp;T(Transactions!$M$19),Pivot!$A$3,"Customer","SWEPCO")</f>
        <v>2304.7366021507437</v>
      </c>
      <c r="H36" s="46">
        <f>GETPIVOTDATA("Sum of "&amp;T(Transactions!$Q$19),Pivot!$A$3,"Customer",C36)</f>
        <v>0</v>
      </c>
      <c r="I36" s="56">
        <f>F36+G36-H36</f>
        <v>34493.13642855276</v>
      </c>
    </row>
    <row r="37" spans="2:11" x14ac:dyDescent="0.2">
      <c r="C37" s="66" t="s">
        <v>81</v>
      </c>
      <c r="D37" s="55">
        <f>GETPIVOTDATA("Sum of "&amp;T(Transactions!$J$19),Pivot!$A$3,"Customer",C37)</f>
        <v>17620.278104875215</v>
      </c>
      <c r="E37" s="55">
        <f>GETPIVOTDATA("Sum of "&amp;T(Transactions!$K$19),Pivot!$A$3,"Customer",C37)</f>
        <v>16143.984313240635</v>
      </c>
      <c r="F37" s="55">
        <f>D37-E37</f>
        <v>1476.29379163458</v>
      </c>
      <c r="G37" s="46">
        <f>+GETPIVOTDATA("Sum of "&amp;T(Transactions!$M$19),Pivot!$A$3,"Customer","SWEPCO-Valley")</f>
        <v>105.70479910334947</v>
      </c>
      <c r="H37" s="46">
        <f>GETPIVOTDATA("Sum of "&amp;T(Transactions!$Q$19),Pivot!$A$3,"Customer",C37)</f>
        <v>0</v>
      </c>
      <c r="I37" s="56">
        <f>F37+G37-H37</f>
        <v>1581.9985907379294</v>
      </c>
    </row>
    <row r="38" spans="2:11" ht="24" x14ac:dyDescent="0.2">
      <c r="C38" s="67" t="s">
        <v>51</v>
      </c>
      <c r="D38" s="68">
        <f t="shared" ref="D38:I38" si="3">SUM(D35:D37)</f>
        <v>803712.04000946949</v>
      </c>
      <c r="E38" s="68">
        <f t="shared" si="3"/>
        <v>736373.99415878265</v>
      </c>
      <c r="F38" s="68">
        <f t="shared" si="3"/>
        <v>67338.045850686874</v>
      </c>
      <c r="G38" s="69">
        <f t="shared" si="3"/>
        <v>4821.5027720043936</v>
      </c>
      <c r="H38" s="69">
        <f t="shared" si="3"/>
        <v>0</v>
      </c>
      <c r="I38" s="70">
        <f t="shared" si="3"/>
        <v>72159.548622691262</v>
      </c>
      <c r="K38" s="71"/>
    </row>
    <row r="39" spans="2:11" ht="23.25" customHeight="1" thickBot="1" x14ac:dyDescent="0.25">
      <c r="C39" s="72" t="s">
        <v>44</v>
      </c>
      <c r="D39" s="73">
        <f t="shared" ref="D39:I39" si="4">SUM(D34,D38)</f>
        <v>1094141.7617580374</v>
      </c>
      <c r="E39" s="74">
        <f t="shared" si="4"/>
        <v>1002470.4112584903</v>
      </c>
      <c r="F39" s="73">
        <f t="shared" si="4"/>
        <v>91671.350499547058</v>
      </c>
      <c r="G39" s="74">
        <f t="shared" si="4"/>
        <v>6563.8030471958482</v>
      </c>
      <c r="H39" s="74">
        <f t="shared" si="4"/>
        <v>0</v>
      </c>
      <c r="I39" s="75">
        <f t="shared" si="4"/>
        <v>98235.153546742891</v>
      </c>
      <c r="K39" s="71"/>
    </row>
    <row r="41" spans="2:11" x14ac:dyDescent="0.2">
      <c r="I41" s="189"/>
    </row>
  </sheetData>
  <mergeCells count="4">
    <mergeCell ref="C1:I1"/>
    <mergeCell ref="C2:I2"/>
    <mergeCell ref="C3:I3"/>
    <mergeCell ref="C4:I4"/>
  </mergeCells>
  <phoneticPr fontId="6" type="noConversion"/>
  <printOptions horizontalCentered="1"/>
  <pageMargins left="0.5" right="0.75" top="0.9" bottom="0.53" header="0.5" footer="0.5"/>
  <pageSetup scale="83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O126"/>
  <sheetViews>
    <sheetView zoomScale="85" zoomScaleNormal="85" workbookViewId="0">
      <pane xSplit="2" ySplit="4" topLeftCell="F5" activePane="bottomRight" state="frozen"/>
      <selection pane="topRight" activeCell="C1" sqref="C1"/>
      <selection pane="bottomLeft" activeCell="A5" sqref="A5"/>
      <selection pane="bottomRight" activeCell="I15" sqref="I15"/>
    </sheetView>
  </sheetViews>
  <sheetFormatPr defaultColWidth="8.7109375" defaultRowHeight="12.75" x14ac:dyDescent="0.2"/>
  <cols>
    <col min="1" max="1" width="19.140625" customWidth="1"/>
    <col min="2" max="2" width="28.5703125" bestFit="1" customWidth="1"/>
    <col min="3" max="14" width="15.42578125" bestFit="1" customWidth="1"/>
    <col min="15" max="15" width="14.140625" customWidth="1"/>
  </cols>
  <sheetData>
    <row r="3" spans="1:15" x14ac:dyDescent="0.2">
      <c r="A3" s="194"/>
      <c r="B3" s="195"/>
      <c r="C3" s="196" t="s">
        <v>53</v>
      </c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7"/>
    </row>
    <row r="4" spans="1:15" x14ac:dyDescent="0.2">
      <c r="A4" s="196" t="s">
        <v>0</v>
      </c>
      <c r="B4" s="196" t="s">
        <v>24</v>
      </c>
      <c r="C4" s="198">
        <v>45658</v>
      </c>
      <c r="D4" s="199">
        <v>45689</v>
      </c>
      <c r="E4" s="199">
        <v>45717</v>
      </c>
      <c r="F4" s="199">
        <v>45748</v>
      </c>
      <c r="G4" s="199">
        <v>45778</v>
      </c>
      <c r="H4" s="199">
        <v>45809</v>
      </c>
      <c r="I4" s="199">
        <v>45839</v>
      </c>
      <c r="J4" s="199">
        <v>45870</v>
      </c>
      <c r="K4" s="199">
        <v>45901</v>
      </c>
      <c r="L4" s="199">
        <v>45931</v>
      </c>
      <c r="M4" s="199">
        <v>45962</v>
      </c>
      <c r="N4" s="199">
        <v>45992</v>
      </c>
      <c r="O4" s="200" t="s">
        <v>18</v>
      </c>
    </row>
    <row r="5" spans="1:15" x14ac:dyDescent="0.2">
      <c r="A5" s="194" t="s">
        <v>14</v>
      </c>
      <c r="B5" s="194" t="s">
        <v>70</v>
      </c>
      <c r="C5" s="201">
        <v>9983.1018471023217</v>
      </c>
      <c r="D5" s="202">
        <v>11388.590305907617</v>
      </c>
      <c r="E5" s="202">
        <v>7389.1488826896066</v>
      </c>
      <c r="F5" s="202">
        <v>6004.3293718079185</v>
      </c>
      <c r="G5" s="202">
        <v>8071.2241641686469</v>
      </c>
      <c r="H5" s="202">
        <v>9259.6886697760674</v>
      </c>
      <c r="I5" s="202">
        <v>10623.839232734148</v>
      </c>
      <c r="J5" s="202">
        <v>10902.870029702846</v>
      </c>
      <c r="K5" s="202">
        <v>8422.5962788699708</v>
      </c>
      <c r="L5" s="202">
        <v>7626.8417838110909</v>
      </c>
      <c r="M5" s="202">
        <v>7296.1386170333735</v>
      </c>
      <c r="N5" s="202">
        <v>8918.6510290365459</v>
      </c>
      <c r="O5" s="203">
        <v>105887.02021264016</v>
      </c>
    </row>
    <row r="6" spans="1:15" x14ac:dyDescent="0.2">
      <c r="A6" s="204"/>
      <c r="B6" s="205" t="s">
        <v>25</v>
      </c>
      <c r="C6" s="206">
        <v>836.42217168269963</v>
      </c>
      <c r="D6" s="207">
        <v>954.17933042891855</v>
      </c>
      <c r="E6" s="207">
        <v>619.09094487901712</v>
      </c>
      <c r="F6" s="207">
        <v>503.0655090555374</v>
      </c>
      <c r="G6" s="207">
        <v>676.23780132938737</v>
      </c>
      <c r="H6" s="207">
        <v>775.81186938685278</v>
      </c>
      <c r="I6" s="207">
        <v>890.10558228759328</v>
      </c>
      <c r="J6" s="207">
        <v>913.48384174456442</v>
      </c>
      <c r="K6" s="207">
        <v>705.6770910159421</v>
      </c>
      <c r="L6" s="207">
        <v>639.00575849050983</v>
      </c>
      <c r="M6" s="207">
        <v>611.2981917266934</v>
      </c>
      <c r="N6" s="207">
        <v>747.23844116166674</v>
      </c>
      <c r="O6" s="208">
        <v>8871.6165331893826</v>
      </c>
    </row>
    <row r="7" spans="1:15" x14ac:dyDescent="0.2">
      <c r="A7" s="204"/>
      <c r="B7" s="205" t="s">
        <v>26</v>
      </c>
      <c r="C7" s="206">
        <v>59.889053333627928</v>
      </c>
      <c r="D7" s="207">
        <v>68.320638482047585</v>
      </c>
      <c r="E7" s="207">
        <v>44.327818978823977</v>
      </c>
      <c r="F7" s="207">
        <v>36.020227729645782</v>
      </c>
      <c r="G7" s="207">
        <v>48.419617653792351</v>
      </c>
      <c r="H7" s="207">
        <v>55.549266860176623</v>
      </c>
      <c r="I7" s="207">
        <v>63.732864210113362</v>
      </c>
      <c r="J7" s="207">
        <v>65.406781849873155</v>
      </c>
      <c r="K7" s="207">
        <v>50.527513940897265</v>
      </c>
      <c r="L7" s="207">
        <v>45.753748820100839</v>
      </c>
      <c r="M7" s="207">
        <v>43.769846432237387</v>
      </c>
      <c r="N7" s="207">
        <v>53.503367522692436</v>
      </c>
      <c r="O7" s="208">
        <v>635.22074581402865</v>
      </c>
    </row>
    <row r="8" spans="1:15" x14ac:dyDescent="0.2">
      <c r="A8" s="204"/>
      <c r="B8" s="205" t="s">
        <v>27</v>
      </c>
      <c r="C8" s="206">
        <v>896.31122501632751</v>
      </c>
      <c r="D8" s="207">
        <v>1022.4999689109661</v>
      </c>
      <c r="E8" s="207">
        <v>663.4187638578411</v>
      </c>
      <c r="F8" s="207">
        <v>539.08573678518314</v>
      </c>
      <c r="G8" s="207">
        <v>724.6574189831797</v>
      </c>
      <c r="H8" s="207">
        <v>831.36113624702944</v>
      </c>
      <c r="I8" s="207">
        <v>953.83844649770663</v>
      </c>
      <c r="J8" s="207">
        <v>978.89062359443756</v>
      </c>
      <c r="K8" s="207">
        <v>756.20460495683938</v>
      </c>
      <c r="L8" s="207">
        <v>684.75950731061062</v>
      </c>
      <c r="M8" s="207">
        <v>655.06803815893079</v>
      </c>
      <c r="N8" s="207">
        <v>800.74180868435917</v>
      </c>
      <c r="O8" s="208">
        <v>9506.8372790034118</v>
      </c>
    </row>
    <row r="9" spans="1:15" x14ac:dyDescent="0.2">
      <c r="A9" s="204"/>
      <c r="B9" s="205" t="s">
        <v>49</v>
      </c>
      <c r="C9" s="209">
        <v>9146.6796754196221</v>
      </c>
      <c r="D9" s="76">
        <v>10434.410975478699</v>
      </c>
      <c r="E9" s="76">
        <v>6770.0579378105895</v>
      </c>
      <c r="F9" s="76">
        <v>5501.2638627523811</v>
      </c>
      <c r="G9" s="76">
        <v>7394.9863628392595</v>
      </c>
      <c r="H9" s="76">
        <v>8483.8768003892146</v>
      </c>
      <c r="I9" s="76">
        <v>9733.7336504465547</v>
      </c>
      <c r="J9" s="76">
        <v>9989.3861879582819</v>
      </c>
      <c r="K9" s="76">
        <v>7716.9191878540287</v>
      </c>
      <c r="L9" s="76">
        <v>6987.836025320581</v>
      </c>
      <c r="M9" s="76">
        <v>6684.8404253066801</v>
      </c>
      <c r="N9" s="76">
        <v>8171.4125878748791</v>
      </c>
      <c r="O9" s="210">
        <v>97015.40367945077</v>
      </c>
    </row>
    <row r="10" spans="1:15" x14ac:dyDescent="0.2">
      <c r="A10" s="204"/>
      <c r="B10" s="205" t="s">
        <v>87</v>
      </c>
      <c r="C10" s="209">
        <v>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210">
        <v>0</v>
      </c>
    </row>
    <row r="11" spans="1:15" x14ac:dyDescent="0.2">
      <c r="A11" s="204"/>
      <c r="B11" s="205" t="s">
        <v>89</v>
      </c>
      <c r="C11" s="209">
        <v>0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210">
        <v>0</v>
      </c>
    </row>
    <row r="12" spans="1:15" x14ac:dyDescent="0.2">
      <c r="A12" s="194" t="s">
        <v>17</v>
      </c>
      <c r="B12" s="194" t="s">
        <v>70</v>
      </c>
      <c r="C12" s="201">
        <v>1095.4542399511865</v>
      </c>
      <c r="D12" s="202">
        <v>1054.1163441039719</v>
      </c>
      <c r="E12" s="202">
        <v>1033.4473961803646</v>
      </c>
      <c r="F12" s="202">
        <v>620.06843770821877</v>
      </c>
      <c r="G12" s="202">
        <v>992.10950033314998</v>
      </c>
      <c r="H12" s="202">
        <v>1229.8024014546338</v>
      </c>
      <c r="I12" s="202">
        <v>1219.4679274928301</v>
      </c>
      <c r="J12" s="202">
        <v>1229.8024014546338</v>
      </c>
      <c r="K12" s="202">
        <v>1043.7818701421681</v>
      </c>
      <c r="L12" s="202">
        <v>1095.4542399511865</v>
      </c>
      <c r="M12" s="202">
        <v>361.7065886631276</v>
      </c>
      <c r="N12" s="202">
        <v>1064.4508180657756</v>
      </c>
      <c r="O12" s="203">
        <v>12039.662165501248</v>
      </c>
    </row>
    <row r="13" spans="1:15" x14ac:dyDescent="0.2">
      <c r="A13" s="204"/>
      <c r="B13" s="205" t="s">
        <v>25</v>
      </c>
      <c r="C13" s="206">
        <v>91.78131490514113</v>
      </c>
      <c r="D13" s="207">
        <v>88.317869059663963</v>
      </c>
      <c r="E13" s="207">
        <v>86.586146136925549</v>
      </c>
      <c r="F13" s="207">
        <v>51.951687682155352</v>
      </c>
      <c r="G13" s="207">
        <v>83.122700291448382</v>
      </c>
      <c r="H13" s="207">
        <v>103.03751390294133</v>
      </c>
      <c r="I13" s="207">
        <v>102.17165244157195</v>
      </c>
      <c r="J13" s="207">
        <v>103.03751390294133</v>
      </c>
      <c r="K13" s="207">
        <v>87.452007598294699</v>
      </c>
      <c r="L13" s="207">
        <v>91.78131490514113</v>
      </c>
      <c r="M13" s="207">
        <v>30.305151147923937</v>
      </c>
      <c r="N13" s="207">
        <v>89.18373052103334</v>
      </c>
      <c r="O13" s="208">
        <v>1008.728602495182</v>
      </c>
    </row>
    <row r="14" spans="1:15" x14ac:dyDescent="0.2">
      <c r="A14" s="204"/>
      <c r="B14" s="205" t="s">
        <v>26</v>
      </c>
      <c r="C14" s="206">
        <v>6.5716766597976815</v>
      </c>
      <c r="D14" s="207">
        <v>6.3236888613147499</v>
      </c>
      <c r="E14" s="207">
        <v>6.1996949620732842</v>
      </c>
      <c r="F14" s="207">
        <v>3.7198169772439704</v>
      </c>
      <c r="G14" s="207">
        <v>5.9517071635903536</v>
      </c>
      <c r="H14" s="207">
        <v>7.377637004867208</v>
      </c>
      <c r="I14" s="207">
        <v>7.315640055246476</v>
      </c>
      <c r="J14" s="207">
        <v>7.377637004867208</v>
      </c>
      <c r="K14" s="207">
        <v>6.2616919116940171</v>
      </c>
      <c r="L14" s="207">
        <v>6.5716766597976815</v>
      </c>
      <c r="M14" s="207">
        <v>2.1698932367256494</v>
      </c>
      <c r="N14" s="207">
        <v>6.3856858109354828</v>
      </c>
      <c r="O14" s="208">
        <v>72.226446308153768</v>
      </c>
    </row>
    <row r="15" spans="1:15" x14ac:dyDescent="0.2">
      <c r="A15" s="204"/>
      <c r="B15" s="205" t="s">
        <v>27</v>
      </c>
      <c r="C15" s="206">
        <v>98.352991564938804</v>
      </c>
      <c r="D15" s="207">
        <v>94.641557920978713</v>
      </c>
      <c r="E15" s="207">
        <v>92.78584109899883</v>
      </c>
      <c r="F15" s="207">
        <v>55.671504659399325</v>
      </c>
      <c r="G15" s="207">
        <v>89.074407455038738</v>
      </c>
      <c r="H15" s="207">
        <v>110.41515090780854</v>
      </c>
      <c r="I15" s="207">
        <v>109.48729249681843</v>
      </c>
      <c r="J15" s="207">
        <v>110.41515090780854</v>
      </c>
      <c r="K15" s="207">
        <v>93.713699509988714</v>
      </c>
      <c r="L15" s="207">
        <v>98.352991564938804</v>
      </c>
      <c r="M15" s="207">
        <v>32.475044384649586</v>
      </c>
      <c r="N15" s="207">
        <v>95.569416331968824</v>
      </c>
      <c r="O15" s="208">
        <v>1080.9550488033358</v>
      </c>
    </row>
    <row r="16" spans="1:15" x14ac:dyDescent="0.2">
      <c r="A16" s="204"/>
      <c r="B16" s="205" t="s">
        <v>49</v>
      </c>
      <c r="C16" s="209">
        <v>1003.6729250460454</v>
      </c>
      <c r="D16" s="76">
        <v>965.79847504430791</v>
      </c>
      <c r="E16" s="76">
        <v>946.8612500434391</v>
      </c>
      <c r="F16" s="76">
        <v>568.11675002606341</v>
      </c>
      <c r="G16" s="76">
        <v>908.9868000417016</v>
      </c>
      <c r="H16" s="76">
        <v>1126.7648875516925</v>
      </c>
      <c r="I16" s="76">
        <v>1117.2962750512581</v>
      </c>
      <c r="J16" s="76">
        <v>1126.7648875516925</v>
      </c>
      <c r="K16" s="76">
        <v>956.32986254387345</v>
      </c>
      <c r="L16" s="76">
        <v>1003.6729250460454</v>
      </c>
      <c r="M16" s="76">
        <v>331.40143751520367</v>
      </c>
      <c r="N16" s="76">
        <v>975.26708754474225</v>
      </c>
      <c r="O16" s="210">
        <v>11030.933563006065</v>
      </c>
    </row>
    <row r="17" spans="1:15" x14ac:dyDescent="0.2">
      <c r="A17" s="204"/>
      <c r="B17" s="205" t="s">
        <v>87</v>
      </c>
      <c r="C17" s="209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210">
        <v>0</v>
      </c>
    </row>
    <row r="18" spans="1:15" x14ac:dyDescent="0.2">
      <c r="A18" s="204"/>
      <c r="B18" s="205" t="s">
        <v>89</v>
      </c>
      <c r="C18" s="209">
        <v>0</v>
      </c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210">
        <v>0</v>
      </c>
    </row>
    <row r="19" spans="1:15" x14ac:dyDescent="0.2">
      <c r="A19" s="194" t="s">
        <v>13</v>
      </c>
      <c r="B19" s="194" t="s">
        <v>70</v>
      </c>
      <c r="C19" s="201">
        <v>13589.833259771794</v>
      </c>
      <c r="D19" s="202">
        <v>14230.570645403621</v>
      </c>
      <c r="E19" s="202">
        <v>8174.5689037866841</v>
      </c>
      <c r="F19" s="202">
        <v>6231.6877989675986</v>
      </c>
      <c r="G19" s="202">
        <v>7626.8417838110909</v>
      </c>
      <c r="H19" s="202">
        <v>8773.9683935712947</v>
      </c>
      <c r="I19" s="202">
        <v>10107.115534643965</v>
      </c>
      <c r="J19" s="202">
        <v>10334.473961803646</v>
      </c>
      <c r="K19" s="202">
        <v>8722.2960237622774</v>
      </c>
      <c r="L19" s="202">
        <v>7854.200210970771</v>
      </c>
      <c r="M19" s="202">
        <v>7730.1865234291272</v>
      </c>
      <c r="N19" s="202">
        <v>11057.887139129902</v>
      </c>
      <c r="O19" s="203">
        <v>114433.63017905178</v>
      </c>
    </row>
    <row r="20" spans="1:15" x14ac:dyDescent="0.2">
      <c r="A20" s="204"/>
      <c r="B20" s="205" t="s">
        <v>25</v>
      </c>
      <c r="C20" s="206">
        <v>1138.6078217005706</v>
      </c>
      <c r="D20" s="207">
        <v>1192.2912323054643</v>
      </c>
      <c r="E20" s="207">
        <v>684.89641594308068</v>
      </c>
      <c r="F20" s="207">
        <v>522.11446120566052</v>
      </c>
      <c r="G20" s="207">
        <v>639.00575849050983</v>
      </c>
      <c r="H20" s="207">
        <v>735.11638070249683</v>
      </c>
      <c r="I20" s="207">
        <v>846.81250921912942</v>
      </c>
      <c r="J20" s="207">
        <v>865.86146136925527</v>
      </c>
      <c r="K20" s="207">
        <v>730.78707339565153</v>
      </c>
      <c r="L20" s="207">
        <v>658.05471064063386</v>
      </c>
      <c r="M20" s="207">
        <v>647.66437310420224</v>
      </c>
      <c r="N20" s="207">
        <v>926.47176366510394</v>
      </c>
      <c r="O20" s="208">
        <v>9587.683961741759</v>
      </c>
    </row>
    <row r="21" spans="1:15" x14ac:dyDescent="0.2">
      <c r="A21" s="204"/>
      <c r="B21" s="205" t="s">
        <v>26</v>
      </c>
      <c r="C21" s="206">
        <v>81.525988751263682</v>
      </c>
      <c r="D21" s="207">
        <v>85.369799627749117</v>
      </c>
      <c r="E21" s="207">
        <v>49.039587149999676</v>
      </c>
      <c r="F21" s="207">
        <v>37.384160621301902</v>
      </c>
      <c r="G21" s="207">
        <v>45.753748820100839</v>
      </c>
      <c r="H21" s="207">
        <v>52.635410228002179</v>
      </c>
      <c r="I21" s="207">
        <v>60.633016729076722</v>
      </c>
      <c r="J21" s="207">
        <v>61.996949620732842</v>
      </c>
      <c r="K21" s="207">
        <v>52.32542547989852</v>
      </c>
      <c r="L21" s="207">
        <v>47.117681711756958</v>
      </c>
      <c r="M21" s="207">
        <v>46.373718316308164</v>
      </c>
      <c r="N21" s="207">
        <v>66.336736094184147</v>
      </c>
      <c r="O21" s="208">
        <v>686.4922231503748</v>
      </c>
    </row>
    <row r="22" spans="1:15" x14ac:dyDescent="0.2">
      <c r="A22" s="204"/>
      <c r="B22" s="205" t="s">
        <v>27</v>
      </c>
      <c r="C22" s="206">
        <v>1220.1338104518343</v>
      </c>
      <c r="D22" s="207">
        <v>1277.6610319332135</v>
      </c>
      <c r="E22" s="207">
        <v>733.93600309308033</v>
      </c>
      <c r="F22" s="207">
        <v>559.49862182696245</v>
      </c>
      <c r="G22" s="207">
        <v>684.75950731061062</v>
      </c>
      <c r="H22" s="207">
        <v>787.75179093049906</v>
      </c>
      <c r="I22" s="207">
        <v>907.44552594820618</v>
      </c>
      <c r="J22" s="207">
        <v>927.8584109899881</v>
      </c>
      <c r="K22" s="207">
        <v>783.11249887555005</v>
      </c>
      <c r="L22" s="207">
        <v>705.17239235239083</v>
      </c>
      <c r="M22" s="207">
        <v>694.03809142051045</v>
      </c>
      <c r="N22" s="207">
        <v>992.80849975928811</v>
      </c>
      <c r="O22" s="208">
        <v>10274.176184892134</v>
      </c>
    </row>
    <row r="23" spans="1:15" x14ac:dyDescent="0.2">
      <c r="A23" s="204"/>
      <c r="B23" s="205" t="s">
        <v>49</v>
      </c>
      <c r="C23" s="209">
        <v>12451.225438071224</v>
      </c>
      <c r="D23" s="76">
        <v>13038.279413098157</v>
      </c>
      <c r="E23" s="76">
        <v>7489.6724878436034</v>
      </c>
      <c r="F23" s="76">
        <v>5709.5733377619381</v>
      </c>
      <c r="G23" s="76">
        <v>6987.836025320581</v>
      </c>
      <c r="H23" s="76">
        <v>8038.8520128687978</v>
      </c>
      <c r="I23" s="76">
        <v>9260.3030254248351</v>
      </c>
      <c r="J23" s="76">
        <v>9468.6125004343903</v>
      </c>
      <c r="K23" s="76">
        <v>7991.5089503666259</v>
      </c>
      <c r="L23" s="76">
        <v>7196.1455003301371</v>
      </c>
      <c r="M23" s="76">
        <v>7082.522150324925</v>
      </c>
      <c r="N23" s="76">
        <v>10131.415375464798</v>
      </c>
      <c r="O23" s="210">
        <v>104845.94621731</v>
      </c>
    </row>
    <row r="24" spans="1:15" x14ac:dyDescent="0.2">
      <c r="A24" s="204"/>
      <c r="B24" s="205" t="s">
        <v>87</v>
      </c>
      <c r="C24" s="209">
        <v>0</v>
      </c>
      <c r="D24" s="76">
        <v>0</v>
      </c>
      <c r="E24" s="76">
        <v>0</v>
      </c>
      <c r="F24" s="76">
        <v>0</v>
      </c>
      <c r="G24" s="76">
        <v>0</v>
      </c>
      <c r="H24" s="76">
        <v>0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210">
        <v>0</v>
      </c>
    </row>
    <row r="25" spans="1:15" x14ac:dyDescent="0.2">
      <c r="A25" s="204"/>
      <c r="B25" s="205" t="s">
        <v>89</v>
      </c>
      <c r="C25" s="209">
        <v>0</v>
      </c>
      <c r="D25" s="76">
        <v>0</v>
      </c>
      <c r="E25" s="76">
        <v>0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210">
        <v>0</v>
      </c>
    </row>
    <row r="26" spans="1:15" x14ac:dyDescent="0.2">
      <c r="A26" s="194" t="s">
        <v>15</v>
      </c>
      <c r="B26" s="194" t="s">
        <v>70</v>
      </c>
      <c r="C26" s="201">
        <v>72.341317732625527</v>
      </c>
      <c r="D26" s="202">
        <v>82.675791694429165</v>
      </c>
      <c r="E26" s="202">
        <v>72.341317732625527</v>
      </c>
      <c r="F26" s="202">
        <v>31.003421885410937</v>
      </c>
      <c r="G26" s="202">
        <v>51.672369809018228</v>
      </c>
      <c r="H26" s="202">
        <v>103.34473961803646</v>
      </c>
      <c r="I26" s="202">
        <v>175.68605735066197</v>
      </c>
      <c r="J26" s="202">
        <v>165.35158338885833</v>
      </c>
      <c r="K26" s="202">
        <v>82.675791694429165</v>
      </c>
      <c r="L26" s="202">
        <v>82.675791694429165</v>
      </c>
      <c r="M26" s="202">
        <v>62.006843770821874</v>
      </c>
      <c r="N26" s="202">
        <v>72.341317732625527</v>
      </c>
      <c r="O26" s="203">
        <v>1054.1163441039719</v>
      </c>
    </row>
    <row r="27" spans="1:15" x14ac:dyDescent="0.2">
      <c r="A27" s="204"/>
      <c r="B27" s="205" t="s">
        <v>25</v>
      </c>
      <c r="C27" s="206">
        <v>6.0610302295847873</v>
      </c>
      <c r="D27" s="207">
        <v>6.9268916909540366</v>
      </c>
      <c r="E27" s="207">
        <v>6.0610302295847873</v>
      </c>
      <c r="F27" s="207">
        <v>2.5975843841077619</v>
      </c>
      <c r="G27" s="207">
        <v>4.3293073068462746</v>
      </c>
      <c r="H27" s="207">
        <v>8.6586146136925493</v>
      </c>
      <c r="I27" s="207">
        <v>14.719644843277308</v>
      </c>
      <c r="J27" s="207">
        <v>13.853783381908073</v>
      </c>
      <c r="K27" s="207">
        <v>6.9268916909540366</v>
      </c>
      <c r="L27" s="207">
        <v>6.9268916909540366</v>
      </c>
      <c r="M27" s="207">
        <v>5.1951687682155239</v>
      </c>
      <c r="N27" s="207">
        <v>6.0610302295847873</v>
      </c>
      <c r="O27" s="208">
        <v>88.317869059663963</v>
      </c>
    </row>
    <row r="28" spans="1:15" x14ac:dyDescent="0.2">
      <c r="A28" s="204"/>
      <c r="B28" s="205" t="s">
        <v>26</v>
      </c>
      <c r="C28" s="206">
        <v>0.43397864734512986</v>
      </c>
      <c r="D28" s="207">
        <v>0.49597559696586269</v>
      </c>
      <c r="E28" s="207">
        <v>0.43397864734512986</v>
      </c>
      <c r="F28" s="207">
        <v>0.18599084886219855</v>
      </c>
      <c r="G28" s="207">
        <v>0.30998474810366416</v>
      </c>
      <c r="H28" s="207">
        <v>0.61996949620732833</v>
      </c>
      <c r="I28" s="207">
        <v>1.0539481435524582</v>
      </c>
      <c r="J28" s="207">
        <v>0.99195119393172537</v>
      </c>
      <c r="K28" s="207">
        <v>0.49597559696586269</v>
      </c>
      <c r="L28" s="207">
        <v>0.49597559696586269</v>
      </c>
      <c r="M28" s="207">
        <v>0.3719816977243971</v>
      </c>
      <c r="N28" s="207">
        <v>0.43397864734512986</v>
      </c>
      <c r="O28" s="208">
        <v>6.3236888613147499</v>
      </c>
    </row>
    <row r="29" spans="1:15" x14ac:dyDescent="0.2">
      <c r="A29" s="204"/>
      <c r="B29" s="205" t="s">
        <v>27</v>
      </c>
      <c r="C29" s="206">
        <v>6.4950088769299175</v>
      </c>
      <c r="D29" s="207">
        <v>7.4228672879198996</v>
      </c>
      <c r="E29" s="207">
        <v>6.4950088769299175</v>
      </c>
      <c r="F29" s="207">
        <v>2.7835752329699606</v>
      </c>
      <c r="G29" s="207">
        <v>4.639292054949939</v>
      </c>
      <c r="H29" s="207">
        <v>9.278584109899878</v>
      </c>
      <c r="I29" s="207">
        <v>15.773592986829767</v>
      </c>
      <c r="J29" s="207">
        <v>14.845734575839799</v>
      </c>
      <c r="K29" s="207">
        <v>7.4228672879198996</v>
      </c>
      <c r="L29" s="207">
        <v>7.4228672879198996</v>
      </c>
      <c r="M29" s="207">
        <v>5.5671504659399211</v>
      </c>
      <c r="N29" s="207">
        <v>6.4950088769299175</v>
      </c>
      <c r="O29" s="208">
        <v>94.641557920978713</v>
      </c>
    </row>
    <row r="30" spans="1:15" x14ac:dyDescent="0.2">
      <c r="A30" s="204"/>
      <c r="B30" s="205" t="s">
        <v>49</v>
      </c>
      <c r="C30" s="209">
        <v>66.280287503040739</v>
      </c>
      <c r="D30" s="76">
        <v>75.748900003475129</v>
      </c>
      <c r="E30" s="76">
        <v>66.280287503040739</v>
      </c>
      <c r="F30" s="76">
        <v>28.405837501303175</v>
      </c>
      <c r="G30" s="76">
        <v>47.343062502171954</v>
      </c>
      <c r="H30" s="76">
        <v>94.686125004343907</v>
      </c>
      <c r="I30" s="76">
        <v>160.96641250738466</v>
      </c>
      <c r="J30" s="76">
        <v>151.49780000695026</v>
      </c>
      <c r="K30" s="76">
        <v>75.748900003475129</v>
      </c>
      <c r="L30" s="76">
        <v>75.748900003475129</v>
      </c>
      <c r="M30" s="76">
        <v>56.81167500260635</v>
      </c>
      <c r="N30" s="76">
        <v>66.280287503040739</v>
      </c>
      <c r="O30" s="210">
        <v>965.79847504430791</v>
      </c>
    </row>
    <row r="31" spans="1:15" x14ac:dyDescent="0.2">
      <c r="A31" s="204"/>
      <c r="B31" s="205" t="s">
        <v>87</v>
      </c>
      <c r="C31" s="209">
        <v>0</v>
      </c>
      <c r="D31" s="76">
        <v>0</v>
      </c>
      <c r="E31" s="76">
        <v>0</v>
      </c>
      <c r="F31" s="76">
        <v>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210">
        <v>0</v>
      </c>
    </row>
    <row r="32" spans="1:15" x14ac:dyDescent="0.2">
      <c r="A32" s="204"/>
      <c r="B32" s="205" t="s">
        <v>89</v>
      </c>
      <c r="C32" s="209">
        <v>0</v>
      </c>
      <c r="D32" s="76">
        <v>0</v>
      </c>
      <c r="E32" s="76">
        <v>0</v>
      </c>
      <c r="F32" s="76">
        <v>0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210">
        <v>0</v>
      </c>
    </row>
    <row r="33" spans="1:15" x14ac:dyDescent="0.2">
      <c r="A33" s="194" t="s">
        <v>16</v>
      </c>
      <c r="B33" s="194" t="s">
        <v>70</v>
      </c>
      <c r="C33" s="201">
        <v>20.668947923607291</v>
      </c>
      <c r="D33" s="202">
        <v>31.003421885410937</v>
      </c>
      <c r="E33" s="202">
        <v>20.668947923607291</v>
      </c>
      <c r="F33" s="202">
        <v>10.334473961803646</v>
      </c>
      <c r="G33" s="202">
        <v>20.668947923607291</v>
      </c>
      <c r="H33" s="202">
        <v>31.003421885410937</v>
      </c>
      <c r="I33" s="202">
        <v>72.341317732625527</v>
      </c>
      <c r="J33" s="202">
        <v>51.672369809018228</v>
      </c>
      <c r="K33" s="202">
        <v>20.668947923607291</v>
      </c>
      <c r="L33" s="202">
        <v>31.003421885410937</v>
      </c>
      <c r="M33" s="202">
        <v>10.334473961803646</v>
      </c>
      <c r="N33" s="202">
        <v>20.668947923607291</v>
      </c>
      <c r="O33" s="203">
        <v>341.03764073952033</v>
      </c>
    </row>
    <row r="34" spans="1:15" x14ac:dyDescent="0.2">
      <c r="A34" s="204"/>
      <c r="B34" s="205" t="s">
        <v>25</v>
      </c>
      <c r="C34" s="206">
        <v>1.7317229227385091</v>
      </c>
      <c r="D34" s="207">
        <v>2.5975843841077619</v>
      </c>
      <c r="E34" s="207">
        <v>1.7317229227385091</v>
      </c>
      <c r="F34" s="207">
        <v>0.86586146136925457</v>
      </c>
      <c r="G34" s="207">
        <v>1.7317229227385091</v>
      </c>
      <c r="H34" s="207">
        <v>2.5975843841077619</v>
      </c>
      <c r="I34" s="207">
        <v>6.0610302295847873</v>
      </c>
      <c r="J34" s="207">
        <v>4.3293073068462746</v>
      </c>
      <c r="K34" s="207">
        <v>1.7317229227385091</v>
      </c>
      <c r="L34" s="207">
        <v>2.5975843841077619</v>
      </c>
      <c r="M34" s="207">
        <v>0.86586146136925457</v>
      </c>
      <c r="N34" s="207">
        <v>1.7317229227385091</v>
      </c>
      <c r="O34" s="208">
        <v>28.573428225185399</v>
      </c>
    </row>
    <row r="35" spans="1:15" x14ac:dyDescent="0.2">
      <c r="A35" s="204"/>
      <c r="B35" s="205" t="s">
        <v>26</v>
      </c>
      <c r="C35" s="206">
        <v>0.12399389924146567</v>
      </c>
      <c r="D35" s="207">
        <v>0.18599084886219855</v>
      </c>
      <c r="E35" s="207">
        <v>0.12399389924146567</v>
      </c>
      <c r="F35" s="207">
        <v>6.1996949620732836E-2</v>
      </c>
      <c r="G35" s="207">
        <v>0.12399389924146567</v>
      </c>
      <c r="H35" s="207">
        <v>0.18599084886219855</v>
      </c>
      <c r="I35" s="207">
        <v>0.43397864734512986</v>
      </c>
      <c r="J35" s="207">
        <v>0.30998474810366416</v>
      </c>
      <c r="K35" s="207">
        <v>0.12399389924146567</v>
      </c>
      <c r="L35" s="207">
        <v>0.18599084886219855</v>
      </c>
      <c r="M35" s="207">
        <v>6.1996949620732836E-2</v>
      </c>
      <c r="N35" s="207">
        <v>0.12399389924146567</v>
      </c>
      <c r="O35" s="208">
        <v>2.0458993374841841</v>
      </c>
    </row>
    <row r="36" spans="1:15" x14ac:dyDescent="0.2">
      <c r="A36" s="204"/>
      <c r="B36" s="205" t="s">
        <v>27</v>
      </c>
      <c r="C36" s="206">
        <v>1.8557168219799749</v>
      </c>
      <c r="D36" s="207">
        <v>2.7835752329699606</v>
      </c>
      <c r="E36" s="207">
        <v>1.8557168219799749</v>
      </c>
      <c r="F36" s="207">
        <v>0.92785841098998745</v>
      </c>
      <c r="G36" s="207">
        <v>1.8557168219799749</v>
      </c>
      <c r="H36" s="207">
        <v>2.7835752329699606</v>
      </c>
      <c r="I36" s="207">
        <v>6.4950088769299175</v>
      </c>
      <c r="J36" s="207">
        <v>4.639292054949939</v>
      </c>
      <c r="K36" s="207">
        <v>1.8557168219799749</v>
      </c>
      <c r="L36" s="207">
        <v>2.7835752329699606</v>
      </c>
      <c r="M36" s="207">
        <v>0.92785841098998745</v>
      </c>
      <c r="N36" s="207">
        <v>1.8557168219799749</v>
      </c>
      <c r="O36" s="208">
        <v>30.619327562669586</v>
      </c>
    </row>
    <row r="37" spans="1:15" x14ac:dyDescent="0.2">
      <c r="A37" s="204"/>
      <c r="B37" s="205" t="s">
        <v>49</v>
      </c>
      <c r="C37" s="209">
        <v>18.937225000868782</v>
      </c>
      <c r="D37" s="76">
        <v>28.405837501303175</v>
      </c>
      <c r="E37" s="76">
        <v>18.937225000868782</v>
      </c>
      <c r="F37" s="76">
        <v>9.4686125004343911</v>
      </c>
      <c r="G37" s="76">
        <v>18.937225000868782</v>
      </c>
      <c r="H37" s="76">
        <v>28.405837501303175</v>
      </c>
      <c r="I37" s="76">
        <v>66.280287503040739</v>
      </c>
      <c r="J37" s="76">
        <v>47.343062502171954</v>
      </c>
      <c r="K37" s="76">
        <v>18.937225000868782</v>
      </c>
      <c r="L37" s="76">
        <v>28.405837501303175</v>
      </c>
      <c r="M37" s="76">
        <v>9.4686125004343911</v>
      </c>
      <c r="N37" s="76">
        <v>18.937225000868782</v>
      </c>
      <c r="O37" s="210">
        <v>312.46421251433492</v>
      </c>
    </row>
    <row r="38" spans="1:15" x14ac:dyDescent="0.2">
      <c r="A38" s="204"/>
      <c r="B38" s="205" t="s">
        <v>87</v>
      </c>
      <c r="C38" s="209">
        <v>0</v>
      </c>
      <c r="D38" s="76">
        <v>0</v>
      </c>
      <c r="E38" s="76">
        <v>0</v>
      </c>
      <c r="F38" s="76">
        <v>0</v>
      </c>
      <c r="G38" s="76">
        <v>0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210">
        <v>0</v>
      </c>
    </row>
    <row r="39" spans="1:15" x14ac:dyDescent="0.2">
      <c r="A39" s="204"/>
      <c r="B39" s="205" t="s">
        <v>89</v>
      </c>
      <c r="C39" s="209">
        <v>0</v>
      </c>
      <c r="D39" s="76">
        <v>0</v>
      </c>
      <c r="E39" s="76">
        <v>0</v>
      </c>
      <c r="F39" s="76">
        <v>0</v>
      </c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210">
        <v>0</v>
      </c>
    </row>
    <row r="40" spans="1:15" x14ac:dyDescent="0.2">
      <c r="A40" s="194" t="s">
        <v>19</v>
      </c>
      <c r="B40" s="194" t="s">
        <v>70</v>
      </c>
      <c r="C40" s="201">
        <v>723.41317732625521</v>
      </c>
      <c r="D40" s="202">
        <v>516.72369809018232</v>
      </c>
      <c r="E40" s="202">
        <v>692.40975544084426</v>
      </c>
      <c r="F40" s="202">
        <v>733.74765128805882</v>
      </c>
      <c r="G40" s="202">
        <v>661.40633355543332</v>
      </c>
      <c r="H40" s="202">
        <v>744.08212524986243</v>
      </c>
      <c r="I40" s="202">
        <v>113.67921357984011</v>
      </c>
      <c r="J40" s="202">
        <v>640.73738563182599</v>
      </c>
      <c r="K40" s="202">
        <v>744.08212524986243</v>
      </c>
      <c r="L40" s="202">
        <v>744.08212524986243</v>
      </c>
      <c r="M40" s="202">
        <v>692.40975544084426</v>
      </c>
      <c r="N40" s="202">
        <v>702.74422940264787</v>
      </c>
      <c r="O40" s="203">
        <v>7709.5175755055207</v>
      </c>
    </row>
    <row r="41" spans="1:15" x14ac:dyDescent="0.2">
      <c r="A41" s="204"/>
      <c r="B41" s="205" t="s">
        <v>25</v>
      </c>
      <c r="C41" s="206">
        <v>60.610302295847873</v>
      </c>
      <c r="D41" s="207">
        <v>43.293073068462775</v>
      </c>
      <c r="E41" s="207">
        <v>58.012717911740083</v>
      </c>
      <c r="F41" s="207">
        <v>61.476163757217023</v>
      </c>
      <c r="G41" s="207">
        <v>55.415133527632292</v>
      </c>
      <c r="H41" s="207">
        <v>62.342025218586286</v>
      </c>
      <c r="I41" s="207">
        <v>9.5244760750618127</v>
      </c>
      <c r="J41" s="207">
        <v>53.683410604893766</v>
      </c>
      <c r="K41" s="207">
        <v>62.342025218586286</v>
      </c>
      <c r="L41" s="207">
        <v>62.342025218586286</v>
      </c>
      <c r="M41" s="207">
        <v>58.012717911740083</v>
      </c>
      <c r="N41" s="207">
        <v>58.878579373109233</v>
      </c>
      <c r="O41" s="208">
        <v>645.93265018146383</v>
      </c>
    </row>
    <row r="42" spans="1:15" x14ac:dyDescent="0.2">
      <c r="A42" s="204"/>
      <c r="B42" s="205" t="s">
        <v>26</v>
      </c>
      <c r="C42" s="206">
        <v>4.3397864734512988</v>
      </c>
      <c r="D42" s="207">
        <v>3.0998474810366421</v>
      </c>
      <c r="E42" s="207">
        <v>4.153795624589101</v>
      </c>
      <c r="F42" s="207">
        <v>4.4017834230720316</v>
      </c>
      <c r="G42" s="207">
        <v>3.9678047757269015</v>
      </c>
      <c r="H42" s="207">
        <v>4.4637803726927645</v>
      </c>
      <c r="I42" s="207">
        <v>0.68196644582806132</v>
      </c>
      <c r="J42" s="207">
        <v>3.8438108764854362</v>
      </c>
      <c r="K42" s="207">
        <v>4.4637803726927645</v>
      </c>
      <c r="L42" s="207">
        <v>4.4637803726927645</v>
      </c>
      <c r="M42" s="207">
        <v>4.153795624589101</v>
      </c>
      <c r="N42" s="207">
        <v>4.215792574209833</v>
      </c>
      <c r="O42" s="208">
        <v>46.249724417066702</v>
      </c>
    </row>
    <row r="43" spans="1:15" x14ac:dyDescent="0.2">
      <c r="A43" s="204"/>
      <c r="B43" s="205" t="s">
        <v>27</v>
      </c>
      <c r="C43" s="206">
        <v>64.950088769299171</v>
      </c>
      <c r="D43" s="207">
        <v>46.392920549499415</v>
      </c>
      <c r="E43" s="207">
        <v>62.166513536329184</v>
      </c>
      <c r="F43" s="207">
        <v>65.877947180289055</v>
      </c>
      <c r="G43" s="207">
        <v>59.382938303359197</v>
      </c>
      <c r="H43" s="207">
        <v>66.805805591279054</v>
      </c>
      <c r="I43" s="207">
        <v>10.206442520889874</v>
      </c>
      <c r="J43" s="207">
        <v>57.5272214813792</v>
      </c>
      <c r="K43" s="207">
        <v>66.805805591279054</v>
      </c>
      <c r="L43" s="207">
        <v>66.805805591279054</v>
      </c>
      <c r="M43" s="207">
        <v>62.166513536329184</v>
      </c>
      <c r="N43" s="207">
        <v>63.094371947319068</v>
      </c>
      <c r="O43" s="208">
        <v>692.18237459853049</v>
      </c>
    </row>
    <row r="44" spans="1:15" x14ac:dyDescent="0.2">
      <c r="A44" s="204"/>
      <c r="B44" s="205" t="s">
        <v>49</v>
      </c>
      <c r="C44" s="209">
        <v>662.80287503040734</v>
      </c>
      <c r="D44" s="76">
        <v>473.43062502171955</v>
      </c>
      <c r="E44" s="76">
        <v>634.39703752910418</v>
      </c>
      <c r="F44" s="76">
        <v>672.2714875308418</v>
      </c>
      <c r="G44" s="76">
        <v>605.99120002780103</v>
      </c>
      <c r="H44" s="76">
        <v>681.74010003127614</v>
      </c>
      <c r="I44" s="76">
        <v>104.1547375047783</v>
      </c>
      <c r="J44" s="76">
        <v>587.05397502693222</v>
      </c>
      <c r="K44" s="76">
        <v>681.74010003127614</v>
      </c>
      <c r="L44" s="76">
        <v>681.74010003127614</v>
      </c>
      <c r="M44" s="76">
        <v>634.39703752910418</v>
      </c>
      <c r="N44" s="76">
        <v>643.86565002953864</v>
      </c>
      <c r="O44" s="210">
        <v>7063.5849253240558</v>
      </c>
    </row>
    <row r="45" spans="1:15" x14ac:dyDescent="0.2">
      <c r="A45" s="204"/>
      <c r="B45" s="205" t="s">
        <v>87</v>
      </c>
      <c r="C45" s="209">
        <v>0</v>
      </c>
      <c r="D45" s="76">
        <v>0</v>
      </c>
      <c r="E45" s="76">
        <v>0</v>
      </c>
      <c r="F45" s="76">
        <v>0</v>
      </c>
      <c r="G45" s="76">
        <v>0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76">
        <v>0</v>
      </c>
      <c r="O45" s="210">
        <v>0</v>
      </c>
    </row>
    <row r="46" spans="1:15" x14ac:dyDescent="0.2">
      <c r="A46" s="204"/>
      <c r="B46" s="205" t="s">
        <v>89</v>
      </c>
      <c r="C46" s="209">
        <v>0</v>
      </c>
      <c r="D46" s="76">
        <v>0</v>
      </c>
      <c r="E46" s="76">
        <v>0</v>
      </c>
      <c r="F46" s="76">
        <v>0</v>
      </c>
      <c r="G46" s="76">
        <v>0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0</v>
      </c>
      <c r="O46" s="210">
        <v>0</v>
      </c>
    </row>
    <row r="47" spans="1:15" x14ac:dyDescent="0.2">
      <c r="A47" s="194" t="s">
        <v>8</v>
      </c>
      <c r="B47" s="194" t="s">
        <v>70</v>
      </c>
      <c r="C47" s="201">
        <v>919.76818260052448</v>
      </c>
      <c r="D47" s="202">
        <v>1054.1163441039719</v>
      </c>
      <c r="E47" s="202">
        <v>661.40633355543332</v>
      </c>
      <c r="F47" s="202">
        <v>733.74765128805882</v>
      </c>
      <c r="G47" s="202">
        <v>1116.1231878747938</v>
      </c>
      <c r="H47" s="202">
        <v>1343.4816150344739</v>
      </c>
      <c r="I47" s="202">
        <v>1560.5055682323505</v>
      </c>
      <c r="J47" s="202">
        <v>1498.4987244615286</v>
      </c>
      <c r="K47" s="202">
        <v>1302.1437191872594</v>
      </c>
      <c r="L47" s="202">
        <v>1095.4542399511865</v>
      </c>
      <c r="M47" s="202">
        <v>692.40975544084426</v>
      </c>
      <c r="N47" s="202">
        <v>847.42686486789898</v>
      </c>
      <c r="O47" s="203">
        <v>12825.082186598323</v>
      </c>
    </row>
    <row r="48" spans="1:15" x14ac:dyDescent="0.2">
      <c r="A48" s="204"/>
      <c r="B48" s="205" t="s">
        <v>25</v>
      </c>
      <c r="C48" s="206">
        <v>77.061670061863651</v>
      </c>
      <c r="D48" s="207">
        <v>88.317869059663963</v>
      </c>
      <c r="E48" s="207">
        <v>55.415133527632292</v>
      </c>
      <c r="F48" s="207">
        <v>61.476163757217023</v>
      </c>
      <c r="G48" s="207">
        <v>93.513037827879543</v>
      </c>
      <c r="H48" s="207">
        <v>112.56198997800311</v>
      </c>
      <c r="I48" s="207">
        <v>130.74508066675753</v>
      </c>
      <c r="J48" s="207">
        <v>125.54991189854195</v>
      </c>
      <c r="K48" s="207">
        <v>109.09854413252606</v>
      </c>
      <c r="L48" s="207">
        <v>91.78131490514113</v>
      </c>
      <c r="M48" s="207">
        <v>58.012717911740083</v>
      </c>
      <c r="N48" s="207">
        <v>71.000639832278921</v>
      </c>
      <c r="O48" s="208">
        <v>1074.5340735592454</v>
      </c>
    </row>
    <row r="49" spans="1:15" x14ac:dyDescent="0.2">
      <c r="A49" s="204"/>
      <c r="B49" s="205" t="s">
        <v>26</v>
      </c>
      <c r="C49" s="206">
        <v>5.5177285162452225</v>
      </c>
      <c r="D49" s="207">
        <v>6.3236888613147499</v>
      </c>
      <c r="E49" s="207">
        <v>3.9678047757269015</v>
      </c>
      <c r="F49" s="207">
        <v>4.4017834230720316</v>
      </c>
      <c r="G49" s="207">
        <v>6.6956705590391472</v>
      </c>
      <c r="H49" s="207">
        <v>8.0596034506952687</v>
      </c>
      <c r="I49" s="207">
        <v>9.3615393927306592</v>
      </c>
      <c r="J49" s="207">
        <v>8.9895576950062619</v>
      </c>
      <c r="K49" s="207">
        <v>7.811615652212339</v>
      </c>
      <c r="L49" s="207">
        <v>6.5716766597976815</v>
      </c>
      <c r="M49" s="207">
        <v>4.153795624589101</v>
      </c>
      <c r="N49" s="207">
        <v>5.0837498689000933</v>
      </c>
      <c r="O49" s="208">
        <v>76.938214479329474</v>
      </c>
    </row>
    <row r="50" spans="1:15" x14ac:dyDescent="0.2">
      <c r="A50" s="204"/>
      <c r="B50" s="205" t="s">
        <v>27</v>
      </c>
      <c r="C50" s="206">
        <v>82.579398578108879</v>
      </c>
      <c r="D50" s="207">
        <v>94.641557920978713</v>
      </c>
      <c r="E50" s="207">
        <v>59.382938303359197</v>
      </c>
      <c r="F50" s="207">
        <v>65.877947180289055</v>
      </c>
      <c r="G50" s="207">
        <v>100.20870838691869</v>
      </c>
      <c r="H50" s="207">
        <v>120.62159342869838</v>
      </c>
      <c r="I50" s="207">
        <v>140.10662005948819</v>
      </c>
      <c r="J50" s="207">
        <v>134.5394695935482</v>
      </c>
      <c r="K50" s="207">
        <v>116.9101597847384</v>
      </c>
      <c r="L50" s="207">
        <v>98.352991564938804</v>
      </c>
      <c r="M50" s="207">
        <v>62.166513536329184</v>
      </c>
      <c r="N50" s="207">
        <v>76.08438970117902</v>
      </c>
      <c r="O50" s="208">
        <v>1151.4722880385748</v>
      </c>
    </row>
    <row r="51" spans="1:15" x14ac:dyDescent="0.2">
      <c r="A51" s="204"/>
      <c r="B51" s="205" t="s">
        <v>49</v>
      </c>
      <c r="C51" s="209">
        <v>842.70651253866083</v>
      </c>
      <c r="D51" s="76">
        <v>965.79847504430791</v>
      </c>
      <c r="E51" s="76">
        <v>605.99120002780103</v>
      </c>
      <c r="F51" s="76">
        <v>672.2714875308418</v>
      </c>
      <c r="G51" s="76">
        <v>1022.6101500469142</v>
      </c>
      <c r="H51" s="76">
        <v>1230.9196250564707</v>
      </c>
      <c r="I51" s="76">
        <v>1429.7604875655929</v>
      </c>
      <c r="J51" s="76">
        <v>1372.9488125629866</v>
      </c>
      <c r="K51" s="76">
        <v>1193.0451750547334</v>
      </c>
      <c r="L51" s="76">
        <v>1003.6729250460454</v>
      </c>
      <c r="M51" s="76">
        <v>634.39703752910418</v>
      </c>
      <c r="N51" s="76">
        <v>776.42622503562006</v>
      </c>
      <c r="O51" s="210">
        <v>11750.548113039078</v>
      </c>
    </row>
    <row r="52" spans="1:15" x14ac:dyDescent="0.2">
      <c r="A52" s="204"/>
      <c r="B52" s="205" t="s">
        <v>87</v>
      </c>
      <c r="C52" s="209">
        <v>0</v>
      </c>
      <c r="D52" s="76">
        <v>0</v>
      </c>
      <c r="E52" s="76">
        <v>0</v>
      </c>
      <c r="F52" s="76">
        <v>0</v>
      </c>
      <c r="G52" s="76">
        <v>0</v>
      </c>
      <c r="H52" s="76">
        <v>0</v>
      </c>
      <c r="I52" s="76">
        <v>0</v>
      </c>
      <c r="J52" s="76">
        <v>0</v>
      </c>
      <c r="K52" s="76">
        <v>0</v>
      </c>
      <c r="L52" s="76">
        <v>0</v>
      </c>
      <c r="M52" s="76">
        <v>0</v>
      </c>
      <c r="N52" s="76">
        <v>0</v>
      </c>
      <c r="O52" s="210">
        <v>0</v>
      </c>
    </row>
    <row r="53" spans="1:15" x14ac:dyDescent="0.2">
      <c r="A53" s="204"/>
      <c r="B53" s="205" t="s">
        <v>89</v>
      </c>
      <c r="C53" s="209">
        <v>0</v>
      </c>
      <c r="D53" s="76">
        <v>0</v>
      </c>
      <c r="E53" s="76">
        <v>0</v>
      </c>
      <c r="F53" s="76">
        <v>0</v>
      </c>
      <c r="G53" s="76">
        <v>0</v>
      </c>
      <c r="H53" s="76">
        <v>0</v>
      </c>
      <c r="I53" s="76">
        <v>0</v>
      </c>
      <c r="J53" s="76">
        <v>0</v>
      </c>
      <c r="K53" s="76">
        <v>0</v>
      </c>
      <c r="L53" s="76">
        <v>0</v>
      </c>
      <c r="M53" s="76">
        <v>0</v>
      </c>
      <c r="N53" s="76">
        <v>0</v>
      </c>
      <c r="O53" s="210">
        <v>0</v>
      </c>
    </row>
    <row r="54" spans="1:15" x14ac:dyDescent="0.2">
      <c r="A54" s="194" t="s">
        <v>21</v>
      </c>
      <c r="B54" s="194" t="s">
        <v>70</v>
      </c>
      <c r="C54" s="201">
        <v>30393.687921664521</v>
      </c>
      <c r="D54" s="202">
        <v>33287.340630969542</v>
      </c>
      <c r="E54" s="202">
        <v>24999.09251360302</v>
      </c>
      <c r="F54" s="202">
        <v>28078.765754220505</v>
      </c>
      <c r="G54" s="202">
        <v>34909.853042972718</v>
      </c>
      <c r="H54" s="202">
        <v>39519.028429937141</v>
      </c>
      <c r="I54" s="202">
        <v>42474.687983012984</v>
      </c>
      <c r="J54" s="202">
        <v>42330.005347547733</v>
      </c>
      <c r="K54" s="202">
        <v>37793.171278315931</v>
      </c>
      <c r="L54" s="202">
        <v>33700.719589441687</v>
      </c>
      <c r="M54" s="202">
        <v>25309.126732457127</v>
      </c>
      <c r="N54" s="202">
        <v>29112.213150400868</v>
      </c>
      <c r="O54" s="203">
        <v>401907.69237454375</v>
      </c>
    </row>
    <row r="55" spans="1:15" x14ac:dyDescent="0.2">
      <c r="A55" s="204"/>
      <c r="B55" s="205" t="s">
        <v>25</v>
      </c>
      <c r="C55" s="206">
        <v>2546.4985578869782</v>
      </c>
      <c r="D55" s="207">
        <v>2788.9397670703693</v>
      </c>
      <c r="E55" s="207">
        <v>2094.5188750522284</v>
      </c>
      <c r="F55" s="207">
        <v>2352.5455905402632</v>
      </c>
      <c r="G55" s="207">
        <v>2924.8800165053435</v>
      </c>
      <c r="H55" s="207">
        <v>3311.0542282760289</v>
      </c>
      <c r="I55" s="207">
        <v>3558.6906062276394</v>
      </c>
      <c r="J55" s="207">
        <v>3546.5685457684667</v>
      </c>
      <c r="K55" s="207">
        <v>3166.4553642273604</v>
      </c>
      <c r="L55" s="207">
        <v>2823.5742255251389</v>
      </c>
      <c r="M55" s="207">
        <v>2120.4947188933038</v>
      </c>
      <c r="N55" s="207">
        <v>2439.1317366771873</v>
      </c>
      <c r="O55" s="208">
        <v>33673.352232650308</v>
      </c>
    </row>
    <row r="56" spans="1:15" x14ac:dyDescent="0.2">
      <c r="A56" s="204"/>
      <c r="B56" s="205" t="s">
        <v>26</v>
      </c>
      <c r="C56" s="206">
        <v>182.33302883457529</v>
      </c>
      <c r="D56" s="207">
        <v>199.69217472838048</v>
      </c>
      <c r="E56" s="207">
        <v>149.97062113255276</v>
      </c>
      <c r="F56" s="207">
        <v>168.44571211953112</v>
      </c>
      <c r="G56" s="207">
        <v>209.42569581883552</v>
      </c>
      <c r="H56" s="207">
        <v>237.07633534968238</v>
      </c>
      <c r="I56" s="207">
        <v>254.80746294121198</v>
      </c>
      <c r="J56" s="207">
        <v>253.9395056465217</v>
      </c>
      <c r="K56" s="207">
        <v>226.72284476301999</v>
      </c>
      <c r="L56" s="207">
        <v>202.17205271320981</v>
      </c>
      <c r="M56" s="207">
        <v>151.83052962117472</v>
      </c>
      <c r="N56" s="207">
        <v>174.64540708160442</v>
      </c>
      <c r="O56" s="208">
        <v>2411.0613707502998</v>
      </c>
    </row>
    <row r="57" spans="1:15" x14ac:dyDescent="0.2">
      <c r="A57" s="204"/>
      <c r="B57" s="205" t="s">
        <v>27</v>
      </c>
      <c r="C57" s="206">
        <v>2728.8315867215533</v>
      </c>
      <c r="D57" s="207">
        <v>2988.6319417987497</v>
      </c>
      <c r="E57" s="207">
        <v>2244.4894961847813</v>
      </c>
      <c r="F57" s="207">
        <v>2520.9913026597942</v>
      </c>
      <c r="G57" s="207">
        <v>3134.3057123241792</v>
      </c>
      <c r="H57" s="207">
        <v>3548.1305636257111</v>
      </c>
      <c r="I57" s="207">
        <v>3813.4980691688515</v>
      </c>
      <c r="J57" s="207">
        <v>3800.5080514149886</v>
      </c>
      <c r="K57" s="207">
        <v>3393.1782089903804</v>
      </c>
      <c r="L57" s="207">
        <v>3025.7462782383486</v>
      </c>
      <c r="M57" s="207">
        <v>2272.3252485144785</v>
      </c>
      <c r="N57" s="207">
        <v>2613.7771437587917</v>
      </c>
      <c r="O57" s="208">
        <v>36084.413603400608</v>
      </c>
    </row>
    <row r="58" spans="1:15" x14ac:dyDescent="0.2">
      <c r="A58" s="204"/>
      <c r="B58" s="205" t="s">
        <v>49</v>
      </c>
      <c r="C58" s="209">
        <v>27847.189363777543</v>
      </c>
      <c r="D58" s="76">
        <v>30498.400863899173</v>
      </c>
      <c r="E58" s="76">
        <v>22904.573638550792</v>
      </c>
      <c r="F58" s="76">
        <v>25726.220163680242</v>
      </c>
      <c r="G58" s="76">
        <v>31984.973026467374</v>
      </c>
      <c r="H58" s="76">
        <v>36207.974201661113</v>
      </c>
      <c r="I58" s="76">
        <v>38915.997376785344</v>
      </c>
      <c r="J58" s="76">
        <v>38783.436801779266</v>
      </c>
      <c r="K58" s="76">
        <v>34626.715914088571</v>
      </c>
      <c r="L58" s="76">
        <v>30877.145363916548</v>
      </c>
      <c r="M58" s="76">
        <v>23188.632013563823</v>
      </c>
      <c r="N58" s="76">
        <v>26673.081413723681</v>
      </c>
      <c r="O58" s="210">
        <v>368234.34014189348</v>
      </c>
    </row>
    <row r="59" spans="1:15" x14ac:dyDescent="0.2">
      <c r="A59" s="204"/>
      <c r="B59" s="205" t="s">
        <v>87</v>
      </c>
      <c r="C59" s="209">
        <v>0</v>
      </c>
      <c r="D59" s="76">
        <v>0</v>
      </c>
      <c r="E59" s="76">
        <v>0</v>
      </c>
      <c r="F59" s="76">
        <v>0</v>
      </c>
      <c r="G59" s="76">
        <v>0</v>
      </c>
      <c r="H59" s="76">
        <v>0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76">
        <v>0</v>
      </c>
      <c r="O59" s="210">
        <v>0</v>
      </c>
    </row>
    <row r="60" spans="1:15" x14ac:dyDescent="0.2">
      <c r="A60" s="204"/>
      <c r="B60" s="205" t="s">
        <v>89</v>
      </c>
      <c r="C60" s="209">
        <v>0</v>
      </c>
      <c r="D60" s="76">
        <v>0</v>
      </c>
      <c r="E60" s="76">
        <v>0</v>
      </c>
      <c r="F60" s="76">
        <v>0</v>
      </c>
      <c r="G60" s="76">
        <v>0</v>
      </c>
      <c r="H60" s="76">
        <v>0</v>
      </c>
      <c r="I60" s="76">
        <v>0</v>
      </c>
      <c r="J60" s="76">
        <v>0</v>
      </c>
      <c r="K60" s="76">
        <v>0</v>
      </c>
      <c r="L60" s="76">
        <v>0</v>
      </c>
      <c r="M60" s="76">
        <v>0</v>
      </c>
      <c r="N60" s="76">
        <v>0</v>
      </c>
      <c r="O60" s="210">
        <v>0</v>
      </c>
    </row>
    <row r="61" spans="1:15" x14ac:dyDescent="0.2">
      <c r="A61" s="194" t="s">
        <v>22</v>
      </c>
      <c r="B61" s="194" t="s">
        <v>70</v>
      </c>
      <c r="C61" s="201">
        <v>35281.894105597647</v>
      </c>
      <c r="D61" s="202">
        <v>34413.798292806139</v>
      </c>
      <c r="E61" s="202">
        <v>25660.498847158451</v>
      </c>
      <c r="F61" s="202">
        <v>26342.574128637494</v>
      </c>
      <c r="G61" s="202">
        <v>31075.763203143564</v>
      </c>
      <c r="H61" s="202">
        <v>34899.518569010914</v>
      </c>
      <c r="I61" s="202">
        <v>38475.24655979497</v>
      </c>
      <c r="J61" s="202">
        <v>38392.570768100544</v>
      </c>
      <c r="K61" s="202">
        <v>33649.047219632674</v>
      </c>
      <c r="L61" s="202">
        <v>31148.104520876186</v>
      </c>
      <c r="M61" s="202">
        <v>24162.000122696925</v>
      </c>
      <c r="N61" s="202">
        <v>30683.053192595024</v>
      </c>
      <c r="O61" s="203">
        <v>384184.0695300505</v>
      </c>
    </row>
    <row r="62" spans="1:15" x14ac:dyDescent="0.2">
      <c r="A62" s="204"/>
      <c r="B62" s="205" t="s">
        <v>25</v>
      </c>
      <c r="C62" s="206">
        <v>2956.0510291146347</v>
      </c>
      <c r="D62" s="207">
        <v>2883.3186663596171</v>
      </c>
      <c r="E62" s="207">
        <v>2149.9340085798576</v>
      </c>
      <c r="F62" s="207">
        <v>2207.0808650302315</v>
      </c>
      <c r="G62" s="207">
        <v>2603.6454143373485</v>
      </c>
      <c r="H62" s="207">
        <v>2924.0141550439766</v>
      </c>
      <c r="I62" s="207">
        <v>3223.6022206777343</v>
      </c>
      <c r="J62" s="207">
        <v>3216.6753289867847</v>
      </c>
      <c r="K62" s="207">
        <v>2819.2449182182972</v>
      </c>
      <c r="L62" s="207">
        <v>2609.7064445669312</v>
      </c>
      <c r="M62" s="207">
        <v>2024.3840966813186</v>
      </c>
      <c r="N62" s="207">
        <v>2570.7426788053162</v>
      </c>
      <c r="O62" s="208">
        <v>32188.399826402048</v>
      </c>
    </row>
    <row r="63" spans="1:15" x14ac:dyDescent="0.2">
      <c r="A63" s="204"/>
      <c r="B63" s="205" t="s">
        <v>26</v>
      </c>
      <c r="C63" s="206">
        <v>211.65758600518194</v>
      </c>
      <c r="D63" s="207">
        <v>206.44984223704037</v>
      </c>
      <c r="E63" s="207">
        <v>153.93842590827964</v>
      </c>
      <c r="F63" s="207">
        <v>158.03022458324801</v>
      </c>
      <c r="G63" s="207">
        <v>186.42482750954366</v>
      </c>
      <c r="H63" s="207">
        <v>209.3636988692148</v>
      </c>
      <c r="I63" s="207">
        <v>230.81464343798839</v>
      </c>
      <c r="J63" s="207">
        <v>230.31866784102252</v>
      </c>
      <c r="K63" s="207">
        <v>201.86206796510615</v>
      </c>
      <c r="L63" s="207">
        <v>186.85880615688879</v>
      </c>
      <c r="M63" s="207">
        <v>144.94886821327339</v>
      </c>
      <c r="N63" s="207">
        <v>184.06894342395583</v>
      </c>
      <c r="O63" s="208">
        <v>2304.7366021507437</v>
      </c>
    </row>
    <row r="64" spans="1:15" x14ac:dyDescent="0.2">
      <c r="A64" s="204"/>
      <c r="B64" s="205" t="s">
        <v>27</v>
      </c>
      <c r="C64" s="206">
        <v>3167.7086151198168</v>
      </c>
      <c r="D64" s="207">
        <v>3089.7685085966573</v>
      </c>
      <c r="E64" s="207">
        <v>2303.8724344881371</v>
      </c>
      <c r="F64" s="207">
        <v>2365.1110896134796</v>
      </c>
      <c r="G64" s="207">
        <v>2790.0702418468923</v>
      </c>
      <c r="H64" s="207">
        <v>3133.3778539131913</v>
      </c>
      <c r="I64" s="207">
        <v>3454.4168641157225</v>
      </c>
      <c r="J64" s="207">
        <v>3446.9939968278072</v>
      </c>
      <c r="K64" s="207">
        <v>3021.1069861834035</v>
      </c>
      <c r="L64" s="207">
        <v>2796.5652507238201</v>
      </c>
      <c r="M64" s="207">
        <v>2169.3329648945919</v>
      </c>
      <c r="N64" s="207">
        <v>2754.811622229272</v>
      </c>
      <c r="O64" s="208">
        <v>34493.136428552789</v>
      </c>
    </row>
    <row r="65" spans="1:15" x14ac:dyDescent="0.2">
      <c r="A65" s="204"/>
      <c r="B65" s="205" t="s">
        <v>49</v>
      </c>
      <c r="C65" s="209">
        <v>32325.843076483012</v>
      </c>
      <c r="D65" s="76">
        <v>31530.479626446522</v>
      </c>
      <c r="E65" s="76">
        <v>23510.564838578593</v>
      </c>
      <c r="F65" s="76">
        <v>24135.493263607263</v>
      </c>
      <c r="G65" s="76">
        <v>28472.117788806216</v>
      </c>
      <c r="H65" s="76">
        <v>31975.504413966937</v>
      </c>
      <c r="I65" s="76">
        <v>35251.644339117236</v>
      </c>
      <c r="J65" s="76">
        <v>35175.895439113759</v>
      </c>
      <c r="K65" s="76">
        <v>30829.802301414376</v>
      </c>
      <c r="L65" s="76">
        <v>28538.398076309255</v>
      </c>
      <c r="M65" s="76">
        <v>22137.616026015607</v>
      </c>
      <c r="N65" s="76">
        <v>28112.310513789707</v>
      </c>
      <c r="O65" s="210">
        <v>351995.66970364848</v>
      </c>
    </row>
    <row r="66" spans="1:15" x14ac:dyDescent="0.2">
      <c r="A66" s="204"/>
      <c r="B66" s="205" t="s">
        <v>87</v>
      </c>
      <c r="C66" s="209">
        <v>0</v>
      </c>
      <c r="D66" s="76">
        <v>0</v>
      </c>
      <c r="E66" s="76">
        <v>0</v>
      </c>
      <c r="F66" s="76">
        <v>0</v>
      </c>
      <c r="G66" s="76">
        <v>0</v>
      </c>
      <c r="H66" s="76">
        <v>0</v>
      </c>
      <c r="I66" s="76">
        <v>0</v>
      </c>
      <c r="J66" s="76">
        <v>0</v>
      </c>
      <c r="K66" s="76">
        <v>0</v>
      </c>
      <c r="L66" s="76">
        <v>0</v>
      </c>
      <c r="M66" s="76">
        <v>0</v>
      </c>
      <c r="N66" s="76">
        <v>0</v>
      </c>
      <c r="O66" s="210">
        <v>0</v>
      </c>
    </row>
    <row r="67" spans="1:15" x14ac:dyDescent="0.2">
      <c r="A67" s="204"/>
      <c r="B67" s="205" t="s">
        <v>89</v>
      </c>
      <c r="C67" s="209">
        <v>0</v>
      </c>
      <c r="D67" s="76">
        <v>0</v>
      </c>
      <c r="E67" s="76">
        <v>0</v>
      </c>
      <c r="F67" s="76">
        <v>0</v>
      </c>
      <c r="G67" s="76">
        <v>0</v>
      </c>
      <c r="H67" s="76">
        <v>0</v>
      </c>
      <c r="I67" s="76">
        <v>0</v>
      </c>
      <c r="J67" s="76">
        <v>0</v>
      </c>
      <c r="K67" s="76">
        <v>0</v>
      </c>
      <c r="L67" s="76">
        <v>0</v>
      </c>
      <c r="M67" s="76">
        <v>0</v>
      </c>
      <c r="N67" s="76">
        <v>0</v>
      </c>
      <c r="O67" s="210">
        <v>0</v>
      </c>
    </row>
    <row r="68" spans="1:15" x14ac:dyDescent="0.2">
      <c r="A68" s="194" t="s">
        <v>9</v>
      </c>
      <c r="B68" s="194" t="s">
        <v>70</v>
      </c>
      <c r="C68" s="201">
        <v>692.40975544084426</v>
      </c>
      <c r="D68" s="202">
        <v>733.74765128805882</v>
      </c>
      <c r="E68" s="202">
        <v>506.38922412837866</v>
      </c>
      <c r="F68" s="202">
        <v>382.37553658673488</v>
      </c>
      <c r="G68" s="202">
        <v>516.72369809018232</v>
      </c>
      <c r="H68" s="202">
        <v>558.06159393739688</v>
      </c>
      <c r="I68" s="202">
        <v>640.73738563182599</v>
      </c>
      <c r="J68" s="202">
        <v>568.39606789920049</v>
      </c>
      <c r="K68" s="202">
        <v>516.72369809018232</v>
      </c>
      <c r="L68" s="202">
        <v>485.72027620477132</v>
      </c>
      <c r="M68" s="202">
        <v>496.05475016657499</v>
      </c>
      <c r="N68" s="202">
        <v>599.39948978461143</v>
      </c>
      <c r="O68" s="203">
        <v>6696.7391272487621</v>
      </c>
    </row>
    <row r="69" spans="1:15" x14ac:dyDescent="0.2">
      <c r="A69" s="204"/>
      <c r="B69" s="205" t="s">
        <v>25</v>
      </c>
      <c r="C69" s="206">
        <v>58.012717911740083</v>
      </c>
      <c r="D69" s="207">
        <v>61.476163757217023</v>
      </c>
      <c r="E69" s="207">
        <v>42.427211607093511</v>
      </c>
      <c r="F69" s="207">
        <v>32.036874070662407</v>
      </c>
      <c r="G69" s="207">
        <v>43.293073068462775</v>
      </c>
      <c r="H69" s="207">
        <v>46.756518913939772</v>
      </c>
      <c r="I69" s="207">
        <v>53.683410604893766</v>
      </c>
      <c r="J69" s="207">
        <v>47.622380375309035</v>
      </c>
      <c r="K69" s="207">
        <v>43.293073068462775</v>
      </c>
      <c r="L69" s="207">
        <v>40.695488684354927</v>
      </c>
      <c r="M69" s="207">
        <v>41.561350145724191</v>
      </c>
      <c r="N69" s="207">
        <v>50.219964759416712</v>
      </c>
      <c r="O69" s="208">
        <v>561.07822696727703</v>
      </c>
    </row>
    <row r="70" spans="1:15" x14ac:dyDescent="0.2">
      <c r="A70" s="204"/>
      <c r="B70" s="205" t="s">
        <v>26</v>
      </c>
      <c r="C70" s="206">
        <v>4.153795624589101</v>
      </c>
      <c r="D70" s="207">
        <v>4.4017834230720316</v>
      </c>
      <c r="E70" s="207">
        <v>3.0378505314159092</v>
      </c>
      <c r="F70" s="207">
        <v>2.2938871359671151</v>
      </c>
      <c r="G70" s="207">
        <v>3.0998474810366421</v>
      </c>
      <c r="H70" s="207">
        <v>3.3478352795195736</v>
      </c>
      <c r="I70" s="207">
        <v>3.8438108764854362</v>
      </c>
      <c r="J70" s="207">
        <v>3.4098322291403065</v>
      </c>
      <c r="K70" s="207">
        <v>3.0998474810366421</v>
      </c>
      <c r="L70" s="207">
        <v>2.9138566321744435</v>
      </c>
      <c r="M70" s="207">
        <v>2.9758535817951768</v>
      </c>
      <c r="N70" s="207">
        <v>3.5958230780025051</v>
      </c>
      <c r="O70" s="208">
        <v>40.174023354234876</v>
      </c>
    </row>
    <row r="71" spans="1:15" x14ac:dyDescent="0.2">
      <c r="A71" s="204"/>
      <c r="B71" s="205" t="s">
        <v>27</v>
      </c>
      <c r="C71" s="206">
        <v>62.166513536329184</v>
      </c>
      <c r="D71" s="207">
        <v>65.877947180289055</v>
      </c>
      <c r="E71" s="207">
        <v>45.465062138509424</v>
      </c>
      <c r="F71" s="207">
        <v>34.330761206629525</v>
      </c>
      <c r="G71" s="207">
        <v>46.392920549499415</v>
      </c>
      <c r="H71" s="207">
        <v>50.104354193459343</v>
      </c>
      <c r="I71" s="207">
        <v>57.5272214813792</v>
      </c>
      <c r="J71" s="207">
        <v>51.032212604449342</v>
      </c>
      <c r="K71" s="207">
        <v>46.392920549499415</v>
      </c>
      <c r="L71" s="207">
        <v>43.609345316529371</v>
      </c>
      <c r="M71" s="207">
        <v>44.537203727519369</v>
      </c>
      <c r="N71" s="207">
        <v>53.815787837419215</v>
      </c>
      <c r="O71" s="208">
        <v>601.25225032151184</v>
      </c>
    </row>
    <row r="72" spans="1:15" x14ac:dyDescent="0.2">
      <c r="A72" s="204"/>
      <c r="B72" s="205" t="s">
        <v>49</v>
      </c>
      <c r="C72" s="209">
        <v>634.39703752910418</v>
      </c>
      <c r="D72" s="76">
        <v>672.2714875308418</v>
      </c>
      <c r="E72" s="76">
        <v>463.96201252128515</v>
      </c>
      <c r="F72" s="76">
        <v>350.33866251607247</v>
      </c>
      <c r="G72" s="76">
        <v>473.43062502171955</v>
      </c>
      <c r="H72" s="76">
        <v>511.30507502345711</v>
      </c>
      <c r="I72" s="76">
        <v>587.05397502693222</v>
      </c>
      <c r="J72" s="76">
        <v>520.77368752389145</v>
      </c>
      <c r="K72" s="76">
        <v>473.43062502171955</v>
      </c>
      <c r="L72" s="76">
        <v>445.0247875204164</v>
      </c>
      <c r="M72" s="76">
        <v>454.4934000208508</v>
      </c>
      <c r="N72" s="76">
        <v>549.17952502519472</v>
      </c>
      <c r="O72" s="210">
        <v>6135.6609002814848</v>
      </c>
    </row>
    <row r="73" spans="1:15" x14ac:dyDescent="0.2">
      <c r="A73" s="204"/>
      <c r="B73" s="205" t="s">
        <v>87</v>
      </c>
      <c r="C73" s="209">
        <v>0</v>
      </c>
      <c r="D73" s="76">
        <v>0</v>
      </c>
      <c r="E73" s="76">
        <v>0</v>
      </c>
      <c r="F73" s="76">
        <v>0</v>
      </c>
      <c r="G73" s="76">
        <v>0</v>
      </c>
      <c r="H73" s="76">
        <v>0</v>
      </c>
      <c r="I73" s="76">
        <v>0</v>
      </c>
      <c r="J73" s="76">
        <v>0</v>
      </c>
      <c r="K73" s="76">
        <v>0</v>
      </c>
      <c r="L73" s="76">
        <v>0</v>
      </c>
      <c r="M73" s="76">
        <v>0</v>
      </c>
      <c r="N73" s="76">
        <v>0</v>
      </c>
      <c r="O73" s="210">
        <v>0</v>
      </c>
    </row>
    <row r="74" spans="1:15" x14ac:dyDescent="0.2">
      <c r="A74" s="204"/>
      <c r="B74" s="205" t="s">
        <v>89</v>
      </c>
      <c r="C74" s="209">
        <v>0</v>
      </c>
      <c r="D74" s="76">
        <v>0</v>
      </c>
      <c r="E74" s="76">
        <v>0</v>
      </c>
      <c r="F74" s="76">
        <v>0</v>
      </c>
      <c r="G74" s="76">
        <v>0</v>
      </c>
      <c r="H74" s="76">
        <v>0</v>
      </c>
      <c r="I74" s="76">
        <v>0</v>
      </c>
      <c r="J74" s="76">
        <v>0</v>
      </c>
      <c r="K74" s="76">
        <v>0</v>
      </c>
      <c r="L74" s="76">
        <v>0</v>
      </c>
      <c r="M74" s="76">
        <v>0</v>
      </c>
      <c r="N74" s="76">
        <v>0</v>
      </c>
      <c r="O74" s="210">
        <v>0</v>
      </c>
    </row>
    <row r="75" spans="1:15" x14ac:dyDescent="0.2">
      <c r="A75" s="194" t="s">
        <v>54</v>
      </c>
      <c r="B75" s="194" t="s">
        <v>70</v>
      </c>
      <c r="C75" s="201">
        <v>1415.8229327670995</v>
      </c>
      <c r="D75" s="202">
        <v>1612.1779380413686</v>
      </c>
      <c r="E75" s="202">
        <v>1167.7955576838119</v>
      </c>
      <c r="F75" s="202">
        <v>1157.4610837220084</v>
      </c>
      <c r="G75" s="202">
        <v>1467.4953025761176</v>
      </c>
      <c r="H75" s="202">
        <v>1705.1882036976015</v>
      </c>
      <c r="I75" s="202">
        <v>1911.8776829336744</v>
      </c>
      <c r="J75" s="202">
        <v>1973.8845267044962</v>
      </c>
      <c r="K75" s="202">
        <v>1446.8263546525104</v>
      </c>
      <c r="L75" s="202">
        <v>1415.8229327670995</v>
      </c>
      <c r="M75" s="202">
        <v>1240.1368754164375</v>
      </c>
      <c r="N75" s="202">
        <v>1322.8126671108666</v>
      </c>
      <c r="O75" s="203">
        <v>17837.302058073092</v>
      </c>
    </row>
    <row r="76" spans="1:15" x14ac:dyDescent="0.2">
      <c r="A76" s="204"/>
      <c r="B76" s="205" t="s">
        <v>25</v>
      </c>
      <c r="C76" s="209">
        <v>118.62302020758784</v>
      </c>
      <c r="D76" s="76">
        <v>135.07438797360373</v>
      </c>
      <c r="E76" s="76">
        <v>97.842345134725747</v>
      </c>
      <c r="F76" s="76">
        <v>96.976483673356597</v>
      </c>
      <c r="G76" s="76">
        <v>122.95232751443405</v>
      </c>
      <c r="H76" s="76">
        <v>142.86714112592699</v>
      </c>
      <c r="I76" s="76">
        <v>160.18437035331203</v>
      </c>
      <c r="J76" s="76">
        <v>165.37953912152761</v>
      </c>
      <c r="K76" s="76">
        <v>121.22060459169575</v>
      </c>
      <c r="L76" s="76">
        <v>118.62302020758784</v>
      </c>
      <c r="M76" s="76">
        <v>103.9033753643107</v>
      </c>
      <c r="N76" s="76">
        <v>110.83026705526458</v>
      </c>
      <c r="O76" s="210">
        <v>1494.4768823233335</v>
      </c>
    </row>
    <row r="77" spans="1:15" x14ac:dyDescent="0.2">
      <c r="A77" s="204"/>
      <c r="B77" s="205" t="s">
        <v>26</v>
      </c>
      <c r="C77" s="209">
        <v>8.4935820980403989</v>
      </c>
      <c r="D77" s="76">
        <v>9.6715241408343235</v>
      </c>
      <c r="E77" s="76">
        <v>7.0056553071428107</v>
      </c>
      <c r="F77" s="76">
        <v>6.9436583575220778</v>
      </c>
      <c r="G77" s="76">
        <v>8.8035668461440633</v>
      </c>
      <c r="H77" s="76">
        <v>10.229496687420919</v>
      </c>
      <c r="I77" s="76">
        <v>11.469435679835575</v>
      </c>
      <c r="J77" s="76">
        <v>11.841417377559972</v>
      </c>
      <c r="K77" s="76">
        <v>8.6795729469025975</v>
      </c>
      <c r="L77" s="76">
        <v>8.4935820980403989</v>
      </c>
      <c r="M77" s="76">
        <v>7.4396339544879408</v>
      </c>
      <c r="N77" s="76">
        <v>7.935609551453803</v>
      </c>
      <c r="O77" s="210">
        <v>107.0067350453849</v>
      </c>
    </row>
    <row r="78" spans="1:15" x14ac:dyDescent="0.2">
      <c r="A78" s="204"/>
      <c r="B78" s="205" t="s">
        <v>27</v>
      </c>
      <c r="C78" s="209">
        <v>127.11660230562825</v>
      </c>
      <c r="D78" s="76">
        <v>144.74591211443806</v>
      </c>
      <c r="E78" s="76">
        <v>104.84800044186856</v>
      </c>
      <c r="F78" s="76">
        <v>103.92014203087868</v>
      </c>
      <c r="G78" s="76">
        <v>131.75589436057811</v>
      </c>
      <c r="H78" s="76">
        <v>153.09663781334791</v>
      </c>
      <c r="I78" s="76">
        <v>171.65380603314762</v>
      </c>
      <c r="J78" s="76">
        <v>177.22095649908758</v>
      </c>
      <c r="K78" s="76">
        <v>129.90017753859834</v>
      </c>
      <c r="L78" s="76">
        <v>127.11660230562825</v>
      </c>
      <c r="M78" s="76">
        <v>111.34300931879865</v>
      </c>
      <c r="N78" s="76">
        <v>118.76587660671839</v>
      </c>
      <c r="O78" s="210">
        <v>1601.4836173687186</v>
      </c>
    </row>
    <row r="79" spans="1:15" x14ac:dyDescent="0.2">
      <c r="A79" s="204"/>
      <c r="B79" s="205" t="s">
        <v>49</v>
      </c>
      <c r="C79" s="209">
        <v>1297.1999125595116</v>
      </c>
      <c r="D79" s="76">
        <v>1477.1035500677649</v>
      </c>
      <c r="E79" s="76">
        <v>1069.9532125490862</v>
      </c>
      <c r="F79" s="76">
        <v>1060.4846000486518</v>
      </c>
      <c r="G79" s="76">
        <v>1344.5429750616836</v>
      </c>
      <c r="H79" s="76">
        <v>1562.3210625716745</v>
      </c>
      <c r="I79" s="76">
        <v>1751.6933125803623</v>
      </c>
      <c r="J79" s="76">
        <v>1808.5049875829686</v>
      </c>
      <c r="K79" s="76">
        <v>1325.6057500608147</v>
      </c>
      <c r="L79" s="76">
        <v>1297.1999125595116</v>
      </c>
      <c r="M79" s="76">
        <v>1136.2335000521268</v>
      </c>
      <c r="N79" s="76">
        <v>1211.9824000556021</v>
      </c>
      <c r="O79" s="210">
        <v>16342.82517574976</v>
      </c>
    </row>
    <row r="80" spans="1:15" x14ac:dyDescent="0.2">
      <c r="A80" s="204"/>
      <c r="B80" s="205" t="s">
        <v>87</v>
      </c>
      <c r="C80" s="209">
        <v>0</v>
      </c>
      <c r="D80" s="76">
        <v>0</v>
      </c>
      <c r="E80" s="76">
        <v>0</v>
      </c>
      <c r="F80" s="76">
        <v>0</v>
      </c>
      <c r="G80" s="76">
        <v>0</v>
      </c>
      <c r="H80" s="76">
        <v>0</v>
      </c>
      <c r="I80" s="76">
        <v>0</v>
      </c>
      <c r="J80" s="76">
        <v>0</v>
      </c>
      <c r="K80" s="76">
        <v>0</v>
      </c>
      <c r="L80" s="76">
        <v>0</v>
      </c>
      <c r="M80" s="76">
        <v>0</v>
      </c>
      <c r="N80" s="76">
        <v>0</v>
      </c>
      <c r="O80" s="210">
        <v>0</v>
      </c>
    </row>
    <row r="81" spans="1:15" x14ac:dyDescent="0.2">
      <c r="A81" s="204"/>
      <c r="B81" s="205" t="s">
        <v>89</v>
      </c>
      <c r="C81" s="209">
        <v>0</v>
      </c>
      <c r="D81" s="76">
        <v>0</v>
      </c>
      <c r="E81" s="76">
        <v>0</v>
      </c>
      <c r="F81" s="76">
        <v>0</v>
      </c>
      <c r="G81" s="76">
        <v>0</v>
      </c>
      <c r="H81" s="76">
        <v>0</v>
      </c>
      <c r="I81" s="76">
        <v>0</v>
      </c>
      <c r="J81" s="76">
        <v>0</v>
      </c>
      <c r="K81" s="76">
        <v>0</v>
      </c>
      <c r="L81" s="76">
        <v>0</v>
      </c>
      <c r="M81" s="76">
        <v>0</v>
      </c>
      <c r="N81" s="76">
        <v>0</v>
      </c>
      <c r="O81" s="210">
        <v>0</v>
      </c>
    </row>
    <row r="82" spans="1:15" x14ac:dyDescent="0.2">
      <c r="A82" s="194" t="s">
        <v>55</v>
      </c>
      <c r="B82" s="194" t="s">
        <v>70</v>
      </c>
      <c r="C82" s="201">
        <v>113.67921357984011</v>
      </c>
      <c r="D82" s="202">
        <v>93.010265656232804</v>
      </c>
      <c r="E82" s="202">
        <v>82.675791694429165</v>
      </c>
      <c r="F82" s="202">
        <v>103.34473961803646</v>
      </c>
      <c r="G82" s="202">
        <v>113.67921357984011</v>
      </c>
      <c r="H82" s="202">
        <v>113.67921357984011</v>
      </c>
      <c r="I82" s="202">
        <v>144.68263546525105</v>
      </c>
      <c r="J82" s="202">
        <v>113.67921357984011</v>
      </c>
      <c r="K82" s="202">
        <v>124.01368754164375</v>
      </c>
      <c r="L82" s="202">
        <v>134.34816150344739</v>
      </c>
      <c r="M82" s="202">
        <v>103.34473961803646</v>
      </c>
      <c r="N82" s="202">
        <v>72.341317732625527</v>
      </c>
      <c r="O82" s="203">
        <v>1312.4781931490631</v>
      </c>
    </row>
    <row r="83" spans="1:15" x14ac:dyDescent="0.2">
      <c r="A83" s="204"/>
      <c r="B83" s="205" t="s">
        <v>25</v>
      </c>
      <c r="C83" s="209">
        <v>9.5244760750618127</v>
      </c>
      <c r="D83" s="76">
        <v>7.7927531523232858</v>
      </c>
      <c r="E83" s="76">
        <v>6.9268916909540366</v>
      </c>
      <c r="F83" s="76">
        <v>8.6586146136925493</v>
      </c>
      <c r="G83" s="76">
        <v>9.5244760750618127</v>
      </c>
      <c r="H83" s="76">
        <v>9.5244760750618127</v>
      </c>
      <c r="I83" s="76">
        <v>12.122060459169575</v>
      </c>
      <c r="J83" s="76">
        <v>9.5244760750618127</v>
      </c>
      <c r="K83" s="76">
        <v>10.390337536431048</v>
      </c>
      <c r="L83" s="76">
        <v>11.256198997800297</v>
      </c>
      <c r="M83" s="76">
        <v>8.6586146136925493</v>
      </c>
      <c r="N83" s="76">
        <v>6.0610302295847873</v>
      </c>
      <c r="O83" s="210">
        <v>109.96440559389538</v>
      </c>
    </row>
    <row r="84" spans="1:15" x14ac:dyDescent="0.2">
      <c r="A84" s="204"/>
      <c r="B84" s="205" t="s">
        <v>26</v>
      </c>
      <c r="C84" s="209">
        <v>0.68196644582806132</v>
      </c>
      <c r="D84" s="76">
        <v>0.55797254658659556</v>
      </c>
      <c r="E84" s="76">
        <v>0.49597559696586269</v>
      </c>
      <c r="F84" s="76">
        <v>0.61996949620732833</v>
      </c>
      <c r="G84" s="76">
        <v>0.68196644582806132</v>
      </c>
      <c r="H84" s="76">
        <v>0.68196644582806132</v>
      </c>
      <c r="I84" s="76">
        <v>0.86795729469025973</v>
      </c>
      <c r="J84" s="76">
        <v>0.68196644582806132</v>
      </c>
      <c r="K84" s="76">
        <v>0.7439633954487942</v>
      </c>
      <c r="L84" s="76">
        <v>0.80596034506952685</v>
      </c>
      <c r="M84" s="76">
        <v>0.61996949620732833</v>
      </c>
      <c r="N84" s="76">
        <v>0.43397864734512986</v>
      </c>
      <c r="O84" s="210">
        <v>7.8736126018330719</v>
      </c>
    </row>
    <row r="85" spans="1:15" x14ac:dyDescent="0.2">
      <c r="A85" s="204"/>
      <c r="B85" s="205" t="s">
        <v>27</v>
      </c>
      <c r="C85" s="209">
        <v>10.206442520889874</v>
      </c>
      <c r="D85" s="76">
        <v>8.3507256989098817</v>
      </c>
      <c r="E85" s="76">
        <v>7.4228672879198996</v>
      </c>
      <c r="F85" s="76">
        <v>9.278584109899878</v>
      </c>
      <c r="G85" s="76">
        <v>10.206442520889874</v>
      </c>
      <c r="H85" s="76">
        <v>10.206442520889874</v>
      </c>
      <c r="I85" s="76">
        <v>12.990017753859835</v>
      </c>
      <c r="J85" s="76">
        <v>10.206442520889874</v>
      </c>
      <c r="K85" s="76">
        <v>11.134300931879842</v>
      </c>
      <c r="L85" s="76">
        <v>12.062159342869824</v>
      </c>
      <c r="M85" s="76">
        <v>9.278584109899878</v>
      </c>
      <c r="N85" s="76">
        <v>6.4950088769299175</v>
      </c>
      <c r="O85" s="210">
        <v>117.83801819572845</v>
      </c>
    </row>
    <row r="86" spans="1:15" x14ac:dyDescent="0.2">
      <c r="A86" s="204"/>
      <c r="B86" s="205" t="s">
        <v>49</v>
      </c>
      <c r="C86" s="209">
        <v>104.1547375047783</v>
      </c>
      <c r="D86" s="76">
        <v>85.217512503909518</v>
      </c>
      <c r="E86" s="76">
        <v>75.748900003475129</v>
      </c>
      <c r="F86" s="76">
        <v>94.686125004343907</v>
      </c>
      <c r="G86" s="76">
        <v>104.1547375047783</v>
      </c>
      <c r="H86" s="76">
        <v>104.1547375047783</v>
      </c>
      <c r="I86" s="76">
        <v>132.56057500608148</v>
      </c>
      <c r="J86" s="76">
        <v>104.1547375047783</v>
      </c>
      <c r="K86" s="76">
        <v>113.6233500052127</v>
      </c>
      <c r="L86" s="76">
        <v>123.09196250564709</v>
      </c>
      <c r="M86" s="76">
        <v>94.686125004343907</v>
      </c>
      <c r="N86" s="76">
        <v>66.280287503040739</v>
      </c>
      <c r="O86" s="210">
        <v>1202.5137875551675</v>
      </c>
    </row>
    <row r="87" spans="1:15" x14ac:dyDescent="0.2">
      <c r="A87" s="204"/>
      <c r="B87" s="205" t="s">
        <v>87</v>
      </c>
      <c r="C87" s="209">
        <v>0</v>
      </c>
      <c r="D87" s="76">
        <v>0</v>
      </c>
      <c r="E87" s="76">
        <v>0</v>
      </c>
      <c r="F87" s="76">
        <v>0</v>
      </c>
      <c r="G87" s="76">
        <v>0</v>
      </c>
      <c r="H87" s="76">
        <v>0</v>
      </c>
      <c r="I87" s="76">
        <v>0</v>
      </c>
      <c r="J87" s="76">
        <v>0</v>
      </c>
      <c r="K87" s="76">
        <v>0</v>
      </c>
      <c r="L87" s="76">
        <v>0</v>
      </c>
      <c r="M87" s="76">
        <v>0</v>
      </c>
      <c r="N87" s="76">
        <v>0</v>
      </c>
      <c r="O87" s="210">
        <v>0</v>
      </c>
    </row>
    <row r="88" spans="1:15" x14ac:dyDescent="0.2">
      <c r="A88" s="204"/>
      <c r="B88" s="205" t="s">
        <v>89</v>
      </c>
      <c r="C88" s="209">
        <v>0</v>
      </c>
      <c r="D88" s="76">
        <v>0</v>
      </c>
      <c r="E88" s="76">
        <v>0</v>
      </c>
      <c r="F88" s="76">
        <v>0</v>
      </c>
      <c r="G88" s="76">
        <v>0</v>
      </c>
      <c r="H88" s="76">
        <v>0</v>
      </c>
      <c r="I88" s="76">
        <v>0</v>
      </c>
      <c r="J88" s="76">
        <v>0</v>
      </c>
      <c r="K88" s="76">
        <v>0</v>
      </c>
      <c r="L88" s="76">
        <v>0</v>
      </c>
      <c r="M88" s="76">
        <v>0</v>
      </c>
      <c r="N88" s="76">
        <v>0</v>
      </c>
      <c r="O88" s="210">
        <v>0</v>
      </c>
    </row>
    <row r="89" spans="1:15" x14ac:dyDescent="0.2">
      <c r="A89" s="194" t="s">
        <v>56</v>
      </c>
      <c r="B89" s="194" t="s">
        <v>70</v>
      </c>
      <c r="C89" s="201">
        <v>0</v>
      </c>
      <c r="D89" s="202">
        <v>0</v>
      </c>
      <c r="E89" s="202">
        <v>0</v>
      </c>
      <c r="F89" s="202">
        <v>0</v>
      </c>
      <c r="G89" s="202">
        <v>0</v>
      </c>
      <c r="H89" s="202">
        <v>0</v>
      </c>
      <c r="I89" s="202">
        <v>0</v>
      </c>
      <c r="J89" s="202">
        <v>0</v>
      </c>
      <c r="K89" s="202">
        <v>0</v>
      </c>
      <c r="L89" s="202">
        <v>0</v>
      </c>
      <c r="M89" s="202">
        <v>0</v>
      </c>
      <c r="N89" s="202">
        <v>0</v>
      </c>
      <c r="O89" s="203">
        <v>0</v>
      </c>
    </row>
    <row r="90" spans="1:15" x14ac:dyDescent="0.2">
      <c r="A90" s="204"/>
      <c r="B90" s="205" t="s">
        <v>25</v>
      </c>
      <c r="C90" s="209">
        <v>0</v>
      </c>
      <c r="D90" s="76">
        <v>0</v>
      </c>
      <c r="E90" s="76">
        <v>0</v>
      </c>
      <c r="F90" s="76">
        <v>0</v>
      </c>
      <c r="G90" s="76">
        <v>0</v>
      </c>
      <c r="H90" s="76">
        <v>0</v>
      </c>
      <c r="I90" s="76">
        <v>0</v>
      </c>
      <c r="J90" s="76">
        <v>0</v>
      </c>
      <c r="K90" s="76">
        <v>0</v>
      </c>
      <c r="L90" s="76">
        <v>0</v>
      </c>
      <c r="M90" s="76">
        <v>0</v>
      </c>
      <c r="N90" s="76">
        <v>0</v>
      </c>
      <c r="O90" s="210">
        <v>0</v>
      </c>
    </row>
    <row r="91" spans="1:15" x14ac:dyDescent="0.2">
      <c r="A91" s="204"/>
      <c r="B91" s="205" t="s">
        <v>26</v>
      </c>
      <c r="C91" s="209">
        <v>0</v>
      </c>
      <c r="D91" s="76">
        <v>0</v>
      </c>
      <c r="E91" s="76">
        <v>0</v>
      </c>
      <c r="F91" s="76">
        <v>0</v>
      </c>
      <c r="G91" s="76">
        <v>0</v>
      </c>
      <c r="H91" s="76">
        <v>0</v>
      </c>
      <c r="I91" s="76">
        <v>0</v>
      </c>
      <c r="J91" s="76">
        <v>0</v>
      </c>
      <c r="K91" s="76">
        <v>0</v>
      </c>
      <c r="L91" s="76">
        <v>0</v>
      </c>
      <c r="M91" s="76">
        <v>0</v>
      </c>
      <c r="N91" s="76">
        <v>0</v>
      </c>
      <c r="O91" s="210">
        <v>0</v>
      </c>
    </row>
    <row r="92" spans="1:15" x14ac:dyDescent="0.2">
      <c r="A92" s="204"/>
      <c r="B92" s="205" t="s">
        <v>27</v>
      </c>
      <c r="C92" s="209">
        <v>0</v>
      </c>
      <c r="D92" s="76">
        <v>0</v>
      </c>
      <c r="E92" s="76">
        <v>0</v>
      </c>
      <c r="F92" s="76">
        <v>0</v>
      </c>
      <c r="G92" s="76">
        <v>0</v>
      </c>
      <c r="H92" s="76">
        <v>0</v>
      </c>
      <c r="I92" s="76">
        <v>0</v>
      </c>
      <c r="J92" s="76">
        <v>0</v>
      </c>
      <c r="K92" s="76">
        <v>0</v>
      </c>
      <c r="L92" s="76">
        <v>0</v>
      </c>
      <c r="M92" s="76">
        <v>0</v>
      </c>
      <c r="N92" s="76">
        <v>0</v>
      </c>
      <c r="O92" s="210">
        <v>0</v>
      </c>
    </row>
    <row r="93" spans="1:15" x14ac:dyDescent="0.2">
      <c r="A93" s="204"/>
      <c r="B93" s="205" t="s">
        <v>49</v>
      </c>
      <c r="C93" s="209">
        <v>0</v>
      </c>
      <c r="D93" s="76">
        <v>0</v>
      </c>
      <c r="E93" s="76">
        <v>0</v>
      </c>
      <c r="F93" s="76">
        <v>0</v>
      </c>
      <c r="G93" s="76">
        <v>0</v>
      </c>
      <c r="H93" s="76">
        <v>0</v>
      </c>
      <c r="I93" s="76">
        <v>0</v>
      </c>
      <c r="J93" s="76">
        <v>0</v>
      </c>
      <c r="K93" s="76">
        <v>0</v>
      </c>
      <c r="L93" s="76">
        <v>0</v>
      </c>
      <c r="M93" s="76">
        <v>0</v>
      </c>
      <c r="N93" s="76">
        <v>0</v>
      </c>
      <c r="O93" s="210">
        <v>0</v>
      </c>
    </row>
    <row r="94" spans="1:15" x14ac:dyDescent="0.2">
      <c r="A94" s="204"/>
      <c r="B94" s="205" t="s">
        <v>87</v>
      </c>
      <c r="C94" s="209">
        <v>0</v>
      </c>
      <c r="D94" s="76">
        <v>0</v>
      </c>
      <c r="E94" s="76">
        <v>0</v>
      </c>
      <c r="F94" s="76">
        <v>0</v>
      </c>
      <c r="G94" s="76">
        <v>0</v>
      </c>
      <c r="H94" s="76">
        <v>0</v>
      </c>
      <c r="I94" s="76">
        <v>0</v>
      </c>
      <c r="J94" s="76">
        <v>0</v>
      </c>
      <c r="K94" s="76">
        <v>0</v>
      </c>
      <c r="L94" s="76">
        <v>0</v>
      </c>
      <c r="M94" s="76">
        <v>0</v>
      </c>
      <c r="N94" s="76">
        <v>0</v>
      </c>
      <c r="O94" s="210">
        <v>0</v>
      </c>
    </row>
    <row r="95" spans="1:15" x14ac:dyDescent="0.2">
      <c r="A95" s="204"/>
      <c r="B95" s="205" t="s">
        <v>89</v>
      </c>
      <c r="C95" s="209">
        <v>0</v>
      </c>
      <c r="D95" s="76">
        <v>0</v>
      </c>
      <c r="E95" s="76">
        <v>0</v>
      </c>
      <c r="F95" s="76">
        <v>0</v>
      </c>
      <c r="G95" s="76">
        <v>0</v>
      </c>
      <c r="H95" s="76">
        <v>0</v>
      </c>
      <c r="I95" s="76">
        <v>0</v>
      </c>
      <c r="J95" s="76">
        <v>0</v>
      </c>
      <c r="K95" s="76">
        <v>0</v>
      </c>
      <c r="L95" s="76">
        <v>0</v>
      </c>
      <c r="M95" s="76">
        <v>0</v>
      </c>
      <c r="N95" s="76">
        <v>0</v>
      </c>
      <c r="O95" s="210">
        <v>0</v>
      </c>
    </row>
    <row r="96" spans="1:15" x14ac:dyDescent="0.2">
      <c r="A96" s="194" t="s">
        <v>57</v>
      </c>
      <c r="B96" s="194" t="s">
        <v>70</v>
      </c>
      <c r="C96" s="201">
        <v>382.37553658673488</v>
      </c>
      <c r="D96" s="202">
        <v>434.0479063957531</v>
      </c>
      <c r="E96" s="202">
        <v>310.03421885410938</v>
      </c>
      <c r="F96" s="202">
        <v>330.70316677771666</v>
      </c>
      <c r="G96" s="202">
        <v>403.04448451034216</v>
      </c>
      <c r="H96" s="202">
        <v>485.72027620477132</v>
      </c>
      <c r="I96" s="202">
        <v>547.72711997559327</v>
      </c>
      <c r="J96" s="202">
        <v>537.39264601378954</v>
      </c>
      <c r="K96" s="202">
        <v>465.05132828116405</v>
      </c>
      <c r="L96" s="202">
        <v>423.71343243394949</v>
      </c>
      <c r="M96" s="202">
        <v>299.69974489230572</v>
      </c>
      <c r="N96" s="202">
        <v>372.04106262493121</v>
      </c>
      <c r="O96" s="203">
        <v>4991.5509235511608</v>
      </c>
    </row>
    <row r="97" spans="1:15" x14ac:dyDescent="0.2">
      <c r="A97" s="204"/>
      <c r="B97" s="205" t="s">
        <v>25</v>
      </c>
      <c r="C97" s="209">
        <v>32.036874070662407</v>
      </c>
      <c r="D97" s="76">
        <v>36.366181377508667</v>
      </c>
      <c r="E97" s="76">
        <v>25.975843841077676</v>
      </c>
      <c r="F97" s="76">
        <v>27.707566763816146</v>
      </c>
      <c r="G97" s="76">
        <v>33.768596993400934</v>
      </c>
      <c r="H97" s="76">
        <v>40.695488684354927</v>
      </c>
      <c r="I97" s="76">
        <v>45.890657452570565</v>
      </c>
      <c r="J97" s="76">
        <v>45.024795991201188</v>
      </c>
      <c r="K97" s="76">
        <v>38.963765761616457</v>
      </c>
      <c r="L97" s="76">
        <v>35.50031991613946</v>
      </c>
      <c r="M97" s="76">
        <v>25.109982379708356</v>
      </c>
      <c r="N97" s="76">
        <v>31.171012609293143</v>
      </c>
      <c r="O97" s="210">
        <v>418.21108584134993</v>
      </c>
    </row>
    <row r="98" spans="1:15" x14ac:dyDescent="0.2">
      <c r="A98" s="204"/>
      <c r="B98" s="205" t="s">
        <v>26</v>
      </c>
      <c r="C98" s="209">
        <v>2.2938871359671151</v>
      </c>
      <c r="D98" s="76">
        <v>2.6038718840707791</v>
      </c>
      <c r="E98" s="76">
        <v>1.8599084886219852</v>
      </c>
      <c r="F98" s="76">
        <v>1.9839023878634507</v>
      </c>
      <c r="G98" s="76">
        <v>2.4178810352085809</v>
      </c>
      <c r="H98" s="76">
        <v>2.9138566321744435</v>
      </c>
      <c r="I98" s="76">
        <v>3.2858383298988407</v>
      </c>
      <c r="J98" s="76">
        <v>3.2238413802781074</v>
      </c>
      <c r="K98" s="76">
        <v>2.7898627329329777</v>
      </c>
      <c r="L98" s="76">
        <v>2.5418749344500466</v>
      </c>
      <c r="M98" s="76">
        <v>1.7979115390012526</v>
      </c>
      <c r="N98" s="76">
        <v>2.2318901863463823</v>
      </c>
      <c r="O98" s="210">
        <v>29.94452666681396</v>
      </c>
    </row>
    <row r="99" spans="1:15" x14ac:dyDescent="0.2">
      <c r="A99" s="204"/>
      <c r="B99" s="205" t="s">
        <v>27</v>
      </c>
      <c r="C99" s="209">
        <v>34.330761206629525</v>
      </c>
      <c r="D99" s="76">
        <v>38.970053261579444</v>
      </c>
      <c r="E99" s="76">
        <v>27.835752329699663</v>
      </c>
      <c r="F99" s="76">
        <v>29.691469151679598</v>
      </c>
      <c r="G99" s="76">
        <v>36.186478028609514</v>
      </c>
      <c r="H99" s="76">
        <v>43.609345316529371</v>
      </c>
      <c r="I99" s="76">
        <v>49.176495782469402</v>
      </c>
      <c r="J99" s="76">
        <v>48.248637371479298</v>
      </c>
      <c r="K99" s="76">
        <v>41.753628494549432</v>
      </c>
      <c r="L99" s="76">
        <v>38.04219485058951</v>
      </c>
      <c r="M99" s="76">
        <v>26.907893918709608</v>
      </c>
      <c r="N99" s="76">
        <v>33.402902795639527</v>
      </c>
      <c r="O99" s="210">
        <v>448.15561250816387</v>
      </c>
    </row>
    <row r="100" spans="1:15" x14ac:dyDescent="0.2">
      <c r="A100" s="204"/>
      <c r="B100" s="205" t="s">
        <v>49</v>
      </c>
      <c r="C100" s="209">
        <v>350.33866251607247</v>
      </c>
      <c r="D100" s="76">
        <v>397.68172501824444</v>
      </c>
      <c r="E100" s="76">
        <v>284.05837501303171</v>
      </c>
      <c r="F100" s="76">
        <v>302.99560001390051</v>
      </c>
      <c r="G100" s="76">
        <v>369.27588751694122</v>
      </c>
      <c r="H100" s="76">
        <v>445.0247875204164</v>
      </c>
      <c r="I100" s="76">
        <v>501.8364625230227</v>
      </c>
      <c r="J100" s="76">
        <v>492.36785002258836</v>
      </c>
      <c r="K100" s="76">
        <v>426.08756251954759</v>
      </c>
      <c r="L100" s="76">
        <v>388.21311251781003</v>
      </c>
      <c r="M100" s="76">
        <v>274.58976251259736</v>
      </c>
      <c r="N100" s="76">
        <v>340.87005001563807</v>
      </c>
      <c r="O100" s="210">
        <v>4573.339837709811</v>
      </c>
    </row>
    <row r="101" spans="1:15" x14ac:dyDescent="0.2">
      <c r="A101" s="204"/>
      <c r="B101" s="205" t="s">
        <v>87</v>
      </c>
      <c r="C101" s="209">
        <v>0</v>
      </c>
      <c r="D101" s="76">
        <v>0</v>
      </c>
      <c r="E101" s="76">
        <v>0</v>
      </c>
      <c r="F101" s="76">
        <v>0</v>
      </c>
      <c r="G101" s="76">
        <v>0</v>
      </c>
      <c r="H101" s="76">
        <v>0</v>
      </c>
      <c r="I101" s="76">
        <v>0</v>
      </c>
      <c r="J101" s="76">
        <v>0</v>
      </c>
      <c r="K101" s="76">
        <v>0</v>
      </c>
      <c r="L101" s="76">
        <v>0</v>
      </c>
      <c r="M101" s="76">
        <v>0</v>
      </c>
      <c r="N101" s="76">
        <v>0</v>
      </c>
      <c r="O101" s="210">
        <v>0</v>
      </c>
    </row>
    <row r="102" spans="1:15" x14ac:dyDescent="0.2">
      <c r="A102" s="204"/>
      <c r="B102" s="205" t="s">
        <v>89</v>
      </c>
      <c r="C102" s="209">
        <v>0</v>
      </c>
      <c r="D102" s="76">
        <v>0</v>
      </c>
      <c r="E102" s="76">
        <v>0</v>
      </c>
      <c r="F102" s="76">
        <v>0</v>
      </c>
      <c r="G102" s="76">
        <v>0</v>
      </c>
      <c r="H102" s="76">
        <v>0</v>
      </c>
      <c r="I102" s="76">
        <v>0</v>
      </c>
      <c r="J102" s="76">
        <v>0</v>
      </c>
      <c r="K102" s="76">
        <v>0</v>
      </c>
      <c r="L102" s="76">
        <v>0</v>
      </c>
      <c r="M102" s="76">
        <v>0</v>
      </c>
      <c r="N102" s="76">
        <v>0</v>
      </c>
      <c r="O102" s="210">
        <v>0</v>
      </c>
    </row>
    <row r="103" spans="1:15" x14ac:dyDescent="0.2">
      <c r="A103" s="194" t="s">
        <v>81</v>
      </c>
      <c r="B103" s="194" t="s">
        <v>70</v>
      </c>
      <c r="C103" s="201">
        <v>2180.5740059405694</v>
      </c>
      <c r="D103" s="202">
        <v>2066.8947923607293</v>
      </c>
      <c r="E103" s="202">
        <v>1260.8058233400448</v>
      </c>
      <c r="F103" s="202">
        <v>1126.4576618365975</v>
      </c>
      <c r="G103" s="202">
        <v>1054.1163441039719</v>
      </c>
      <c r="H103" s="202">
        <v>1353.8160889962776</v>
      </c>
      <c r="I103" s="202">
        <v>1508.8331984233323</v>
      </c>
      <c r="J103" s="202">
        <v>1539.8366203087432</v>
      </c>
      <c r="K103" s="202">
        <v>1260.8058233400448</v>
      </c>
      <c r="L103" s="202">
        <v>1209.1334535310266</v>
      </c>
      <c r="M103" s="202">
        <v>1219.4679274928301</v>
      </c>
      <c r="N103" s="202">
        <v>1839.536365201049</v>
      </c>
      <c r="O103" s="203">
        <v>17620.278104875215</v>
      </c>
    </row>
    <row r="104" spans="1:15" x14ac:dyDescent="0.2">
      <c r="A104" s="204"/>
      <c r="B104" s="205" t="s">
        <v>25</v>
      </c>
      <c r="C104" s="209">
        <v>182.69676834891288</v>
      </c>
      <c r="D104" s="76">
        <v>173.1722922738511</v>
      </c>
      <c r="E104" s="76">
        <v>105.635098287049</v>
      </c>
      <c r="F104" s="76">
        <v>94.37889928924892</v>
      </c>
      <c r="G104" s="76">
        <v>88.317869059663963</v>
      </c>
      <c r="H104" s="76">
        <v>113.42785143937226</v>
      </c>
      <c r="I104" s="76">
        <v>126.4157733599111</v>
      </c>
      <c r="J104" s="76">
        <v>129.013357744019</v>
      </c>
      <c r="K104" s="76">
        <v>105.635098287049</v>
      </c>
      <c r="L104" s="76">
        <v>101.3057909802028</v>
      </c>
      <c r="M104" s="76">
        <v>102.17165244157195</v>
      </c>
      <c r="N104" s="76">
        <v>154.1233401237273</v>
      </c>
      <c r="O104" s="210">
        <v>1476.2937916345793</v>
      </c>
    </row>
    <row r="105" spans="1:15" x14ac:dyDescent="0.2">
      <c r="A105" s="204"/>
      <c r="B105" s="205" t="s">
        <v>26</v>
      </c>
      <c r="C105" s="209">
        <v>13.08135636997463</v>
      </c>
      <c r="D105" s="76">
        <v>12.399389924146568</v>
      </c>
      <c r="E105" s="76">
        <v>7.5636278537294066</v>
      </c>
      <c r="F105" s="76">
        <v>6.7576675086598801</v>
      </c>
      <c r="G105" s="76">
        <v>6.3236888613147499</v>
      </c>
      <c r="H105" s="76">
        <v>8.1216004003160016</v>
      </c>
      <c r="I105" s="76">
        <v>9.0515546446269948</v>
      </c>
      <c r="J105" s="76">
        <v>9.2375454934891934</v>
      </c>
      <c r="K105" s="76">
        <v>7.5636278537294066</v>
      </c>
      <c r="L105" s="76">
        <v>7.2536431056257431</v>
      </c>
      <c r="M105" s="76">
        <v>7.315640055246476</v>
      </c>
      <c r="N105" s="76">
        <v>11.035457032490445</v>
      </c>
      <c r="O105" s="210">
        <v>105.70479910334947</v>
      </c>
    </row>
    <row r="106" spans="1:15" x14ac:dyDescent="0.2">
      <c r="A106" s="204"/>
      <c r="B106" s="205" t="s">
        <v>27</v>
      </c>
      <c r="C106" s="209">
        <v>195.77812471888751</v>
      </c>
      <c r="D106" s="76">
        <v>185.57168219799766</v>
      </c>
      <c r="E106" s="76">
        <v>113.1987261407784</v>
      </c>
      <c r="F106" s="76">
        <v>101.1365667979088</v>
      </c>
      <c r="G106" s="76">
        <v>94.641557920978713</v>
      </c>
      <c r="H106" s="76">
        <v>121.54945183968826</v>
      </c>
      <c r="I106" s="76">
        <v>135.4673280045381</v>
      </c>
      <c r="J106" s="76">
        <v>138.2509032375082</v>
      </c>
      <c r="K106" s="76">
        <v>113.1987261407784</v>
      </c>
      <c r="L106" s="76">
        <v>108.55943408582854</v>
      </c>
      <c r="M106" s="76">
        <v>109.48729249681843</v>
      </c>
      <c r="N106" s="76">
        <v>165.15879715621776</v>
      </c>
      <c r="O106" s="210">
        <v>1581.9985907379289</v>
      </c>
    </row>
    <row r="107" spans="1:15" x14ac:dyDescent="0.2">
      <c r="A107" s="204"/>
      <c r="B107" s="205" t="s">
        <v>49</v>
      </c>
      <c r="C107" s="209">
        <v>1997.8772375916565</v>
      </c>
      <c r="D107" s="76">
        <v>1893.7225000868782</v>
      </c>
      <c r="E107" s="76">
        <v>1155.1707250529957</v>
      </c>
      <c r="F107" s="76">
        <v>1032.0787625473486</v>
      </c>
      <c r="G107" s="76">
        <v>965.79847504430791</v>
      </c>
      <c r="H107" s="76">
        <v>1240.3882375569053</v>
      </c>
      <c r="I107" s="76">
        <v>1382.4174250634212</v>
      </c>
      <c r="J107" s="76">
        <v>1410.8232625647242</v>
      </c>
      <c r="K107" s="76">
        <v>1155.1707250529957</v>
      </c>
      <c r="L107" s="76">
        <v>1107.8276625508238</v>
      </c>
      <c r="M107" s="76">
        <v>1117.2962750512581</v>
      </c>
      <c r="N107" s="76">
        <v>1685.4130250773217</v>
      </c>
      <c r="O107" s="210">
        <v>16143.984313240635</v>
      </c>
    </row>
    <row r="108" spans="1:15" x14ac:dyDescent="0.2">
      <c r="A108" s="204"/>
      <c r="B108" s="205" t="s">
        <v>87</v>
      </c>
      <c r="C108" s="209">
        <v>0</v>
      </c>
      <c r="D108" s="76">
        <v>0</v>
      </c>
      <c r="E108" s="76">
        <v>0</v>
      </c>
      <c r="F108" s="76">
        <v>0</v>
      </c>
      <c r="G108" s="76">
        <v>0</v>
      </c>
      <c r="H108" s="76">
        <v>0</v>
      </c>
      <c r="I108" s="76">
        <v>0</v>
      </c>
      <c r="J108" s="76">
        <v>0</v>
      </c>
      <c r="K108" s="76">
        <v>0</v>
      </c>
      <c r="L108" s="76">
        <v>0</v>
      </c>
      <c r="M108" s="76">
        <v>0</v>
      </c>
      <c r="N108" s="76">
        <v>0</v>
      </c>
      <c r="O108" s="210">
        <v>0</v>
      </c>
    </row>
    <row r="109" spans="1:15" x14ac:dyDescent="0.2">
      <c r="A109" s="204"/>
      <c r="B109" s="205" t="s">
        <v>89</v>
      </c>
      <c r="C109" s="209">
        <v>0</v>
      </c>
      <c r="D109" s="76">
        <v>0</v>
      </c>
      <c r="E109" s="76">
        <v>0</v>
      </c>
      <c r="F109" s="76">
        <v>0</v>
      </c>
      <c r="G109" s="76">
        <v>0</v>
      </c>
      <c r="H109" s="76">
        <v>0</v>
      </c>
      <c r="I109" s="76">
        <v>0</v>
      </c>
      <c r="J109" s="76">
        <v>0</v>
      </c>
      <c r="K109" s="76">
        <v>0</v>
      </c>
      <c r="L109" s="76">
        <v>0</v>
      </c>
      <c r="M109" s="76">
        <v>0</v>
      </c>
      <c r="N109" s="76">
        <v>0</v>
      </c>
      <c r="O109" s="210">
        <v>0</v>
      </c>
    </row>
    <row r="110" spans="1:15" x14ac:dyDescent="0.2">
      <c r="A110" s="194" t="s">
        <v>83</v>
      </c>
      <c r="B110" s="194" t="s">
        <v>70</v>
      </c>
      <c r="C110" s="201">
        <v>485.72027620477132</v>
      </c>
      <c r="D110" s="202">
        <v>589.06501582280782</v>
      </c>
      <c r="E110" s="202">
        <v>351.37211470132394</v>
      </c>
      <c r="F110" s="202">
        <v>279.03079696869844</v>
      </c>
      <c r="G110" s="202">
        <v>413.37895847214583</v>
      </c>
      <c r="H110" s="202">
        <v>475.38580224296771</v>
      </c>
      <c r="I110" s="202">
        <v>568.39606789920049</v>
      </c>
      <c r="J110" s="202">
        <v>568.39606789920049</v>
      </c>
      <c r="K110" s="202">
        <v>454.71685431936044</v>
      </c>
      <c r="L110" s="202">
        <v>351.37211470132394</v>
      </c>
      <c r="M110" s="202">
        <v>361.7065886631276</v>
      </c>
      <c r="N110" s="202">
        <v>403.04448451034216</v>
      </c>
      <c r="O110" s="203">
        <v>5301.5851424052698</v>
      </c>
    </row>
    <row r="111" spans="1:15" x14ac:dyDescent="0.2">
      <c r="A111" s="204"/>
      <c r="B111" s="205" t="s">
        <v>25</v>
      </c>
      <c r="C111" s="209">
        <v>40.695488684354927</v>
      </c>
      <c r="D111" s="76">
        <v>49.354103298047562</v>
      </c>
      <c r="E111" s="76">
        <v>29.439289686554616</v>
      </c>
      <c r="F111" s="76">
        <v>23.378259456969886</v>
      </c>
      <c r="G111" s="76">
        <v>34.634458454770197</v>
      </c>
      <c r="H111" s="76">
        <v>39.829627222985721</v>
      </c>
      <c r="I111" s="76">
        <v>47.622380375309035</v>
      </c>
      <c r="J111" s="76">
        <v>47.622380375309035</v>
      </c>
      <c r="K111" s="76">
        <v>38.097904300247251</v>
      </c>
      <c r="L111" s="76">
        <v>29.439289686554616</v>
      </c>
      <c r="M111" s="76">
        <v>30.305151147923937</v>
      </c>
      <c r="N111" s="76">
        <v>33.768596993400934</v>
      </c>
      <c r="O111" s="210">
        <v>444.18692968242772</v>
      </c>
    </row>
    <row r="112" spans="1:15" x14ac:dyDescent="0.2">
      <c r="A112" s="204"/>
      <c r="B112" s="205" t="s">
        <v>26</v>
      </c>
      <c r="C112" s="209">
        <v>2.9138566321744435</v>
      </c>
      <c r="D112" s="76">
        <v>3.5338261283817718</v>
      </c>
      <c r="E112" s="76">
        <v>2.1078962871049165</v>
      </c>
      <c r="F112" s="76">
        <v>1.6739176397597868</v>
      </c>
      <c r="G112" s="76">
        <v>2.4798779848293133</v>
      </c>
      <c r="H112" s="76">
        <v>2.851859682553711</v>
      </c>
      <c r="I112" s="76">
        <v>3.4098322291403065</v>
      </c>
      <c r="J112" s="76">
        <v>3.4098322291403065</v>
      </c>
      <c r="K112" s="76">
        <v>2.7278657833122453</v>
      </c>
      <c r="L112" s="76">
        <v>2.1078962871049165</v>
      </c>
      <c r="M112" s="76">
        <v>2.1698932367256494</v>
      </c>
      <c r="N112" s="76">
        <v>2.4178810352085809</v>
      </c>
      <c r="O112" s="210">
        <v>31.80443515543595</v>
      </c>
    </row>
    <row r="113" spans="1:15" x14ac:dyDescent="0.2">
      <c r="A113" s="204"/>
      <c r="B113" s="205" t="s">
        <v>27</v>
      </c>
      <c r="C113" s="209">
        <v>43.609345316529371</v>
      </c>
      <c r="D113" s="76">
        <v>52.887929426429331</v>
      </c>
      <c r="E113" s="76">
        <v>31.547185973659534</v>
      </c>
      <c r="F113" s="76">
        <v>25.052177096729672</v>
      </c>
      <c r="G113" s="76">
        <v>37.114336439599512</v>
      </c>
      <c r="H113" s="76">
        <v>42.68148690553943</v>
      </c>
      <c r="I113" s="76">
        <v>51.032212604449342</v>
      </c>
      <c r="J113" s="76">
        <v>51.032212604449342</v>
      </c>
      <c r="K113" s="76">
        <v>40.825770083559497</v>
      </c>
      <c r="L113" s="76">
        <v>31.547185973659534</v>
      </c>
      <c r="M113" s="76">
        <v>32.475044384649586</v>
      </c>
      <c r="N113" s="76">
        <v>36.186478028609514</v>
      </c>
      <c r="O113" s="210">
        <v>475.99136483786367</v>
      </c>
    </row>
    <row r="114" spans="1:15" x14ac:dyDescent="0.2">
      <c r="A114" s="204"/>
      <c r="B114" s="205" t="s">
        <v>49</v>
      </c>
      <c r="C114" s="209">
        <v>445.0247875204164</v>
      </c>
      <c r="D114" s="76">
        <v>539.71091252476026</v>
      </c>
      <c r="E114" s="76">
        <v>321.93282501476932</v>
      </c>
      <c r="F114" s="76">
        <v>255.65253751172855</v>
      </c>
      <c r="G114" s="76">
        <v>378.74450001737563</v>
      </c>
      <c r="H114" s="76">
        <v>435.55617501998199</v>
      </c>
      <c r="I114" s="76">
        <v>520.77368752389145</v>
      </c>
      <c r="J114" s="76">
        <v>520.77368752389145</v>
      </c>
      <c r="K114" s="76">
        <v>416.61895001911319</v>
      </c>
      <c r="L114" s="76">
        <v>321.93282501476932</v>
      </c>
      <c r="M114" s="76">
        <v>331.40143751520367</v>
      </c>
      <c r="N114" s="76">
        <v>369.27588751694122</v>
      </c>
      <c r="O114" s="210">
        <v>4857.3982127228428</v>
      </c>
    </row>
    <row r="115" spans="1:15" x14ac:dyDescent="0.2">
      <c r="A115" s="204"/>
      <c r="B115" s="205" t="s">
        <v>87</v>
      </c>
      <c r="C115" s="209">
        <v>0</v>
      </c>
      <c r="D115" s="76">
        <v>0</v>
      </c>
      <c r="E115" s="76">
        <v>0</v>
      </c>
      <c r="F115" s="76">
        <v>0</v>
      </c>
      <c r="G115" s="76">
        <v>0</v>
      </c>
      <c r="H115" s="76">
        <v>0</v>
      </c>
      <c r="I115" s="76">
        <v>0</v>
      </c>
      <c r="J115" s="76">
        <v>0</v>
      </c>
      <c r="K115" s="76">
        <v>0</v>
      </c>
      <c r="L115" s="76">
        <v>0</v>
      </c>
      <c r="M115" s="76">
        <v>0</v>
      </c>
      <c r="N115" s="76">
        <v>0</v>
      </c>
      <c r="O115" s="210">
        <v>0</v>
      </c>
    </row>
    <row r="116" spans="1:15" x14ac:dyDescent="0.2">
      <c r="A116" s="204"/>
      <c r="B116" s="205" t="s">
        <v>89</v>
      </c>
      <c r="C116" s="209">
        <v>0</v>
      </c>
      <c r="D116" s="76">
        <v>0</v>
      </c>
      <c r="E116" s="76">
        <v>0</v>
      </c>
      <c r="F116" s="76">
        <v>0</v>
      </c>
      <c r="G116" s="76">
        <v>0</v>
      </c>
      <c r="H116" s="76">
        <v>0</v>
      </c>
      <c r="I116" s="76">
        <v>0</v>
      </c>
      <c r="J116" s="76">
        <v>0</v>
      </c>
      <c r="K116" s="76">
        <v>0</v>
      </c>
      <c r="L116" s="76">
        <v>0</v>
      </c>
      <c r="M116" s="76">
        <v>0</v>
      </c>
      <c r="N116" s="76">
        <v>0</v>
      </c>
      <c r="O116" s="210">
        <v>0</v>
      </c>
    </row>
    <row r="117" spans="1:15" x14ac:dyDescent="0.2">
      <c r="A117" s="194" t="s">
        <v>71</v>
      </c>
      <c r="B117" s="195"/>
      <c r="C117" s="201">
        <v>97350.744720190356</v>
      </c>
      <c r="D117" s="202">
        <v>101587.87904452984</v>
      </c>
      <c r="E117" s="202">
        <v>72382.655628472756</v>
      </c>
      <c r="F117" s="202">
        <v>72165.631675274868</v>
      </c>
      <c r="G117" s="202">
        <v>88494.100534924641</v>
      </c>
      <c r="H117" s="202">
        <v>100595.76954419668</v>
      </c>
      <c r="I117" s="202">
        <v>110144.82348490326</v>
      </c>
      <c r="J117" s="202">
        <v>110847.56771430591</v>
      </c>
      <c r="K117" s="202">
        <v>96048.601001003088</v>
      </c>
      <c r="L117" s="202">
        <v>87398.646294973441</v>
      </c>
      <c r="M117" s="202">
        <v>70036.730039143324</v>
      </c>
      <c r="N117" s="202">
        <v>87088.612076119331</v>
      </c>
      <c r="O117" s="203">
        <v>1094141.7617580371</v>
      </c>
    </row>
    <row r="118" spans="1:15" x14ac:dyDescent="0.2">
      <c r="A118" s="194" t="s">
        <v>28</v>
      </c>
      <c r="B118" s="195"/>
      <c r="C118" s="211">
        <v>8156.4149660983794</v>
      </c>
      <c r="D118" s="212">
        <v>8511.4181652597763</v>
      </c>
      <c r="E118" s="212">
        <v>6064.4936754302598</v>
      </c>
      <c r="F118" s="212">
        <v>6046.3105847415063</v>
      </c>
      <c r="G118" s="212">
        <v>7414.3716937049285</v>
      </c>
      <c r="H118" s="212">
        <v>8428.2954649683252</v>
      </c>
      <c r="I118" s="212">
        <v>9228.351455273516</v>
      </c>
      <c r="J118" s="212">
        <v>9287.2300346466309</v>
      </c>
      <c r="K118" s="212">
        <v>8047.3164219658529</v>
      </c>
      <c r="L118" s="212">
        <v>7322.590378799784</v>
      </c>
      <c r="M118" s="212">
        <v>5867.9431236994387</v>
      </c>
      <c r="N118" s="212">
        <v>7296.6145349587059</v>
      </c>
      <c r="O118" s="213">
        <v>91671.350499547116</v>
      </c>
    </row>
    <row r="119" spans="1:15" x14ac:dyDescent="0.2">
      <c r="A119" s="194" t="s">
        <v>29</v>
      </c>
      <c r="B119" s="195"/>
      <c r="C119" s="211">
        <v>584.01126542730333</v>
      </c>
      <c r="D119" s="212">
        <v>609.43001477180383</v>
      </c>
      <c r="E119" s="212">
        <v>434.2266351436129</v>
      </c>
      <c r="F119" s="212">
        <v>432.92469920157743</v>
      </c>
      <c r="G119" s="212">
        <v>530.87987960233522</v>
      </c>
      <c r="H119" s="212">
        <v>603.47830760821341</v>
      </c>
      <c r="I119" s="212">
        <v>660.7634890577707</v>
      </c>
      <c r="J119" s="212">
        <v>664.97928163198048</v>
      </c>
      <c r="K119" s="212">
        <v>576.19964977509096</v>
      </c>
      <c r="L119" s="212">
        <v>524.3082029425376</v>
      </c>
      <c r="M119" s="212">
        <v>420.15332757970646</v>
      </c>
      <c r="N119" s="212">
        <v>522.44829445391576</v>
      </c>
      <c r="O119" s="213">
        <v>6563.8030471958482</v>
      </c>
    </row>
    <row r="120" spans="1:15" x14ac:dyDescent="0.2">
      <c r="A120" s="194" t="s">
        <v>30</v>
      </c>
      <c r="B120" s="195"/>
      <c r="C120" s="211">
        <v>8740.4262315256819</v>
      </c>
      <c r="D120" s="212">
        <v>9120.8481800315749</v>
      </c>
      <c r="E120" s="212">
        <v>6498.7203105738727</v>
      </c>
      <c r="F120" s="212">
        <v>6479.2352839430832</v>
      </c>
      <c r="G120" s="212">
        <v>7945.2515733072632</v>
      </c>
      <c r="H120" s="212">
        <v>9031.7737725765401</v>
      </c>
      <c r="I120" s="212">
        <v>9889.1149443312861</v>
      </c>
      <c r="J120" s="212">
        <v>9952.2093162786114</v>
      </c>
      <c r="K120" s="212">
        <v>8623.5160717409435</v>
      </c>
      <c r="L120" s="212">
        <v>7846.8985817423218</v>
      </c>
      <c r="M120" s="212">
        <v>6288.0964512791452</v>
      </c>
      <c r="N120" s="212">
        <v>7819.0628294126218</v>
      </c>
      <c r="O120" s="213">
        <v>98235.153546742964</v>
      </c>
    </row>
    <row r="121" spans="1:15" x14ac:dyDescent="0.2">
      <c r="A121" s="194" t="s">
        <v>61</v>
      </c>
      <c r="B121" s="195"/>
      <c r="C121" s="201">
        <v>89194.329754091988</v>
      </c>
      <c r="D121" s="202">
        <v>93076.460879270075</v>
      </c>
      <c r="E121" s="202">
        <v>66318.16195304248</v>
      </c>
      <c r="F121" s="202">
        <v>66119.321090533354</v>
      </c>
      <c r="G121" s="202">
        <v>81079.728841219709</v>
      </c>
      <c r="H121" s="202">
        <v>92167.47407922837</v>
      </c>
      <c r="I121" s="202">
        <v>100916.47202962973</v>
      </c>
      <c r="J121" s="202">
        <v>101560.33767965928</v>
      </c>
      <c r="K121" s="202">
        <v>88001.284579037252</v>
      </c>
      <c r="L121" s="202">
        <v>80076.05591617366</v>
      </c>
      <c r="M121" s="202">
        <v>64168.786915443867</v>
      </c>
      <c r="N121" s="202">
        <v>79791.997541160599</v>
      </c>
      <c r="O121" s="203">
        <v>1002470.4112584902</v>
      </c>
    </row>
    <row r="122" spans="1:15" x14ac:dyDescent="0.2">
      <c r="A122" s="194" t="s">
        <v>88</v>
      </c>
      <c r="B122" s="195"/>
      <c r="C122" s="201">
        <v>0</v>
      </c>
      <c r="D122" s="202">
        <v>0</v>
      </c>
      <c r="E122" s="202">
        <v>0</v>
      </c>
      <c r="F122" s="202">
        <v>0</v>
      </c>
      <c r="G122" s="202">
        <v>0</v>
      </c>
      <c r="H122" s="202">
        <v>0</v>
      </c>
      <c r="I122" s="202">
        <v>0</v>
      </c>
      <c r="J122" s="202">
        <v>0</v>
      </c>
      <c r="K122" s="202">
        <v>0</v>
      </c>
      <c r="L122" s="202">
        <v>0</v>
      </c>
      <c r="M122" s="202">
        <v>0</v>
      </c>
      <c r="N122" s="202">
        <v>0</v>
      </c>
      <c r="O122" s="203">
        <v>0</v>
      </c>
    </row>
    <row r="123" spans="1:15" x14ac:dyDescent="0.2">
      <c r="A123" s="214" t="s">
        <v>90</v>
      </c>
      <c r="B123" s="215"/>
      <c r="C123" s="216">
        <v>0</v>
      </c>
      <c r="D123" s="217">
        <v>0</v>
      </c>
      <c r="E123" s="217">
        <v>0</v>
      </c>
      <c r="F123" s="217">
        <v>0</v>
      </c>
      <c r="G123" s="217">
        <v>0</v>
      </c>
      <c r="H123" s="217">
        <v>0</v>
      </c>
      <c r="I123" s="217">
        <v>0</v>
      </c>
      <c r="J123" s="217">
        <v>0</v>
      </c>
      <c r="K123" s="217">
        <v>0</v>
      </c>
      <c r="L123" s="217">
        <v>0</v>
      </c>
      <c r="M123" s="217">
        <v>0</v>
      </c>
      <c r="N123" s="217">
        <v>0</v>
      </c>
      <c r="O123" s="218">
        <v>0</v>
      </c>
    </row>
    <row r="125" spans="1:15" x14ac:dyDescent="0.2">
      <c r="L125" s="76"/>
      <c r="O125" s="76"/>
    </row>
    <row r="126" spans="1:15" x14ac:dyDescent="0.2">
      <c r="L126" s="76"/>
      <c r="O126" s="76"/>
    </row>
  </sheetData>
  <phoneticPr fontId="6" type="noConversion"/>
  <pageMargins left="0.5" right="0.5" top="0.73" bottom="0.98" header="0.5" footer="0.5"/>
  <pageSetup scale="52" fitToHeight="0" orientation="landscape" horizontalDpi="1200" verticalDpi="12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R220"/>
  <sheetViews>
    <sheetView showGridLines="0" zoomScale="80" zoomScaleNormal="80" zoomScaleSheetLayoutView="100" workbookViewId="0">
      <selection activeCell="W26" sqref="W26"/>
    </sheetView>
  </sheetViews>
  <sheetFormatPr defaultColWidth="8.7109375" defaultRowHeight="12.75" x14ac:dyDescent="0.2"/>
  <cols>
    <col min="1" max="1" width="0.5703125" customWidth="1"/>
    <col min="2" max="2" width="10.28515625" bestFit="1" customWidth="1"/>
    <col min="3" max="3" width="10.7109375" bestFit="1" customWidth="1"/>
    <col min="4" max="4" width="11" style="86" customWidth="1"/>
    <col min="5" max="5" width="24.28515625" customWidth="1"/>
    <col min="6" max="6" width="7.7109375" style="86" customWidth="1"/>
    <col min="7" max="7" width="8.140625" style="86" customWidth="1"/>
    <col min="8" max="8" width="11.140625" style="86" bestFit="1" customWidth="1"/>
    <col min="9" max="9" width="11.28515625" style="45" customWidth="1"/>
    <col min="10" max="10" width="14.85546875" style="86" bestFit="1" customWidth="1"/>
    <col min="11" max="11" width="14.85546875" style="92" bestFit="1" customWidth="1"/>
    <col min="12" max="12" width="14.7109375" style="86" customWidth="1"/>
    <col min="13" max="13" width="13.42578125" style="86" bestFit="1" customWidth="1"/>
    <col min="14" max="15" width="13.42578125" style="86" customWidth="1"/>
    <col min="16" max="16" width="14.85546875" style="86" bestFit="1" customWidth="1"/>
    <col min="17" max="17" width="13.42578125" style="86" customWidth="1"/>
    <col min="18" max="18" width="15.5703125" style="178" customWidth="1"/>
  </cols>
  <sheetData>
    <row r="1" spans="2:18" ht="22.5" x14ac:dyDescent="0.2">
      <c r="B1" s="8" t="s">
        <v>94</v>
      </c>
      <c r="C1" s="77"/>
      <c r="D1" s="78"/>
      <c r="E1" s="77"/>
      <c r="F1" s="79" t="s">
        <v>12</v>
      </c>
      <c r="G1" s="80"/>
      <c r="H1" s="81"/>
      <c r="I1" s="82"/>
      <c r="J1" s="180" t="str">
        <f>"True-Up ARR
(CY"&amp;R1&amp;")"</f>
        <v>True-Up ARR
(CY2025)</v>
      </c>
      <c r="K1" s="180" t="str">
        <f>"Projected ARR
(Jan'"&amp;RIGHT(R$1,2)&amp;" - Dec'"&amp;RIGHT(R$1,2)&amp;")"</f>
        <v>Projected ARR
(Jan'25 - Dec'25)</v>
      </c>
      <c r="L1" s="83" t="s">
        <v>45</v>
      </c>
      <c r="M1" s="84"/>
      <c r="N1"/>
      <c r="O1"/>
      <c r="P1"/>
      <c r="Q1"/>
      <c r="R1" s="193">
        <v>2025</v>
      </c>
    </row>
    <row r="2" spans="2:18" x14ac:dyDescent="0.2">
      <c r="B2" s="8" t="s">
        <v>52</v>
      </c>
      <c r="C2" s="77"/>
      <c r="D2" s="78"/>
      <c r="E2" s="77"/>
      <c r="F2" s="85">
        <v>1</v>
      </c>
      <c r="G2" s="220"/>
      <c r="H2" s="220"/>
      <c r="I2" s="87" t="s">
        <v>6</v>
      </c>
      <c r="J2" s="88">
        <v>1094141.7617580374</v>
      </c>
      <c r="K2" s="88">
        <v>980569.51054498542</v>
      </c>
      <c r="L2" s="186"/>
      <c r="M2" s="90"/>
      <c r="N2"/>
      <c r="O2"/>
      <c r="P2"/>
      <c r="Q2"/>
      <c r="R2" s="96"/>
    </row>
    <row r="3" spans="2:18" x14ac:dyDescent="0.2">
      <c r="B3" s="8" t="str">
        <f>"for CY"&amp;R1&amp;" SPP Network Transmission Service"</f>
        <v>for CY2025 SPP Network Transmission Service</v>
      </c>
      <c r="C3" s="77"/>
      <c r="D3" s="78"/>
      <c r="E3" s="77"/>
      <c r="F3" s="85"/>
      <c r="G3" s="220"/>
      <c r="H3" s="220"/>
      <c r="I3" s="87" t="s">
        <v>10</v>
      </c>
      <c r="J3" s="91">
        <v>10.334473961803646</v>
      </c>
      <c r="K3" s="91">
        <v>9.4686125004343911</v>
      </c>
      <c r="L3" s="108" t="str">
        <f>"Inv. Jan-Dec'"&amp;RIGHT(R1,2)</f>
        <v>Inv. Jan-Dec'25</v>
      </c>
      <c r="M3" s="90"/>
      <c r="N3"/>
      <c r="O3"/>
      <c r="P3"/>
      <c r="Q3"/>
      <c r="R3" s="96"/>
    </row>
    <row r="4" spans="2:18" x14ac:dyDescent="0.2">
      <c r="B4" s="7"/>
      <c r="C4" s="77"/>
      <c r="D4" s="78"/>
      <c r="E4" s="77"/>
      <c r="F4" s="85"/>
      <c r="M4" s="93"/>
      <c r="R4" s="96"/>
    </row>
    <row r="5" spans="2:18" x14ac:dyDescent="0.2">
      <c r="B5" s="7"/>
      <c r="C5" s="77"/>
      <c r="D5" s="78"/>
      <c r="E5" s="77"/>
      <c r="F5" s="85"/>
      <c r="I5" s="87"/>
      <c r="K5" s="88">
        <v>0</v>
      </c>
      <c r="L5" s="89"/>
      <c r="M5" s="94"/>
      <c r="N5" s="95"/>
      <c r="O5" s="95"/>
      <c r="P5" s="95"/>
      <c r="Q5" s="95"/>
      <c r="R5" s="96"/>
    </row>
    <row r="6" spans="2:18" x14ac:dyDescent="0.2">
      <c r="B6" s="8" t="s">
        <v>23</v>
      </c>
      <c r="D6" s="78"/>
      <c r="E6" s="77"/>
      <c r="F6" s="97"/>
      <c r="G6" s="14"/>
      <c r="H6" s="98"/>
      <c r="I6" s="99"/>
      <c r="J6" s="100"/>
      <c r="K6" s="91">
        <v>0</v>
      </c>
      <c r="L6" s="108"/>
      <c r="M6" s="94"/>
      <c r="N6" s="95"/>
      <c r="O6" s="95"/>
      <c r="P6" s="95"/>
      <c r="Q6" s="95"/>
      <c r="R6" s="96"/>
    </row>
    <row r="7" spans="2:18" x14ac:dyDescent="0.2">
      <c r="B7" s="7" t="s">
        <v>77</v>
      </c>
      <c r="D7" s="78"/>
      <c r="E7" s="77"/>
      <c r="F7" s="85"/>
      <c r="G7" s="221"/>
      <c r="H7" s="220"/>
      <c r="I7" s="87"/>
      <c r="J7" s="101"/>
      <c r="K7" s="89"/>
      <c r="L7" s="89"/>
      <c r="M7" s="102"/>
      <c r="N7" s="103"/>
      <c r="O7" s="103"/>
      <c r="P7" s="103"/>
      <c r="Q7" s="103"/>
      <c r="R7" s="96"/>
    </row>
    <row r="8" spans="2:18" x14ac:dyDescent="0.2">
      <c r="B8" s="8"/>
      <c r="C8" s="77"/>
      <c r="D8" s="78"/>
      <c r="E8" s="77"/>
      <c r="F8" s="85"/>
      <c r="G8" s="220"/>
      <c r="H8" s="220"/>
      <c r="I8" s="87"/>
      <c r="J8" s="104"/>
      <c r="K8" s="89"/>
      <c r="L8" s="105"/>
      <c r="M8" s="90"/>
      <c r="N8"/>
      <c r="O8"/>
      <c r="P8"/>
      <c r="Q8"/>
      <c r="R8" s="96"/>
    </row>
    <row r="9" spans="2:18" x14ac:dyDescent="0.2">
      <c r="B9" s="106"/>
      <c r="C9" s="77"/>
      <c r="D9" s="78"/>
      <c r="E9" s="77"/>
      <c r="F9" s="85"/>
      <c r="I9" s="107"/>
      <c r="L9" s="108"/>
      <c r="M9" s="90"/>
      <c r="N9"/>
      <c r="O9"/>
      <c r="P9"/>
      <c r="Q9"/>
      <c r="R9" s="96"/>
    </row>
    <row r="10" spans="2:18" ht="13.5" thickBot="1" x14ac:dyDescent="0.25">
      <c r="B10" s="7"/>
      <c r="D10"/>
      <c r="E10" s="109"/>
      <c r="F10" s="110"/>
      <c r="G10" s="111"/>
      <c r="H10" s="112"/>
      <c r="I10" s="113"/>
      <c r="J10" s="114"/>
      <c r="K10" s="114"/>
      <c r="L10" s="115"/>
      <c r="M10" s="116"/>
      <c r="R10" s="117"/>
    </row>
    <row r="11" spans="2:18" x14ac:dyDescent="0.2">
      <c r="B11" s="118"/>
      <c r="E11" s="109"/>
      <c r="L11" s="119"/>
      <c r="M11"/>
      <c r="N11"/>
      <c r="O11"/>
      <c r="P11"/>
      <c r="Q11"/>
      <c r="R11" s="96"/>
    </row>
    <row r="12" spans="2:18" x14ac:dyDescent="0.2">
      <c r="E12" s="109"/>
      <c r="L12" s="119"/>
      <c r="R12" s="120" t="s">
        <v>60</v>
      </c>
    </row>
    <row r="13" spans="2:18" x14ac:dyDescent="0.2">
      <c r="E13" s="109"/>
      <c r="F13" s="121"/>
      <c r="G13" s="122"/>
      <c r="H13" s="122"/>
      <c r="I13" s="123" t="s">
        <v>58</v>
      </c>
      <c r="J13" s="124">
        <f t="shared" ref="J13:R13" si="0">SUM(J56:J211)</f>
        <v>290429.72174856783</v>
      </c>
      <c r="K13" s="124">
        <f t="shared" si="0"/>
        <v>266096.41709970764</v>
      </c>
      <c r="L13" s="125">
        <f t="shared" si="0"/>
        <v>24333.304648860169</v>
      </c>
      <c r="M13" s="126">
        <f t="shared" si="0"/>
        <v>1742.3002751914555</v>
      </c>
      <c r="N13" s="124">
        <f t="shared" si="0"/>
        <v>26075.604924051615</v>
      </c>
      <c r="O13" s="124">
        <f t="shared" si="0"/>
        <v>0</v>
      </c>
      <c r="P13" s="124">
        <f t="shared" si="0"/>
        <v>0</v>
      </c>
      <c r="Q13" s="124">
        <f t="shared" si="0"/>
        <v>0</v>
      </c>
      <c r="R13" s="125">
        <f t="shared" si="0"/>
        <v>26075.604924051615</v>
      </c>
    </row>
    <row r="14" spans="2:18" x14ac:dyDescent="0.2">
      <c r="E14" s="109"/>
      <c r="F14" s="127"/>
      <c r="G14" s="127"/>
      <c r="H14" s="127"/>
      <c r="I14" s="128" t="s">
        <v>59</v>
      </c>
      <c r="J14" s="124">
        <f>SUM(J20:J211)</f>
        <v>1094141.7617580369</v>
      </c>
      <c r="K14" s="124">
        <f>SUM(K20:K211)</f>
        <v>1002470.4112584892</v>
      </c>
      <c r="L14" s="125">
        <f>SUM(L20:L211)</f>
        <v>91671.350499547072</v>
      </c>
      <c r="M14" s="179">
        <v>6563.8030471958482</v>
      </c>
      <c r="N14" s="124">
        <f>SUM(N20:N211)</f>
        <v>98235.153546742935</v>
      </c>
      <c r="O14" s="124">
        <f>SUM(O20:O211)</f>
        <v>0</v>
      </c>
      <c r="P14" s="124">
        <f>SUM(P20:P211)</f>
        <v>0</v>
      </c>
      <c r="Q14" s="124">
        <f>SUM(Q20:Q211)</f>
        <v>0</v>
      </c>
      <c r="R14" s="125">
        <f>SUM(R20:R211)</f>
        <v>98235.153546742935</v>
      </c>
    </row>
    <row r="15" spans="2:18" x14ac:dyDescent="0.2">
      <c r="B15" s="129" t="s">
        <v>82</v>
      </c>
      <c r="E15" s="109"/>
      <c r="J15" s="45"/>
      <c r="L15" s="119"/>
      <c r="M15" s="130"/>
      <c r="N15" s="130"/>
      <c r="O15" s="130"/>
      <c r="P15" s="130"/>
      <c r="Q15" s="130"/>
      <c r="R15" s="131" t="s">
        <v>20</v>
      </c>
    </row>
    <row r="16" spans="2:18" x14ac:dyDescent="0.2">
      <c r="B16" s="132" t="str">
        <f>"** Actual Trued-Up CY"&amp;R1&amp;" Charge reflects "&amp;R1&amp;" True-UP Rate x MW"</f>
        <v>** Actual Trued-Up CY2025 Charge reflects 2025 True-UP Rate x MW</v>
      </c>
      <c r="E16" s="109"/>
      <c r="G16" s="3"/>
      <c r="J16" s="133"/>
      <c r="L16" s="134" t="s">
        <v>11</v>
      </c>
      <c r="M16" s="130"/>
      <c r="N16" s="130"/>
      <c r="O16" s="130"/>
      <c r="P16" s="130"/>
      <c r="Q16" s="130"/>
      <c r="R16" s="135"/>
    </row>
    <row r="17" spans="1:18" x14ac:dyDescent="0.2">
      <c r="B17" s="136" t="s">
        <v>62</v>
      </c>
      <c r="E17" s="109"/>
      <c r="I17" s="137"/>
      <c r="J17" s="138"/>
      <c r="K17" s="137"/>
      <c r="L17" s="137"/>
      <c r="M17" s="137"/>
      <c r="N17" s="137"/>
      <c r="O17" s="137"/>
      <c r="P17" s="137"/>
      <c r="Q17" s="137"/>
      <c r="R17" s="139"/>
    </row>
    <row r="18" spans="1:18" ht="3.6" customHeight="1" x14ac:dyDescent="0.2">
      <c r="I18" s="140"/>
      <c r="J18" s="138"/>
      <c r="K18" s="140"/>
      <c r="L18" s="140"/>
      <c r="M18" s="141"/>
      <c r="N18" s="141"/>
      <c r="O18" s="141"/>
      <c r="P18" s="141"/>
      <c r="Q18" s="141"/>
      <c r="R18" s="142"/>
    </row>
    <row r="19" spans="1:18" ht="38.25" customHeight="1" x14ac:dyDescent="0.2">
      <c r="B19" s="143" t="s">
        <v>53</v>
      </c>
      <c r="C19" s="187" t="s">
        <v>4</v>
      </c>
      <c r="D19" s="187" t="s">
        <v>5</v>
      </c>
      <c r="E19" s="181" t="s">
        <v>0</v>
      </c>
      <c r="F19" s="182" t="s">
        <v>12</v>
      </c>
      <c r="G19" s="188" t="s">
        <v>1</v>
      </c>
      <c r="H19" s="144" t="s">
        <v>48</v>
      </c>
      <c r="I19" s="144" t="s">
        <v>46</v>
      </c>
      <c r="J19" s="145" t="str">
        <f>"True-Up Charge"</f>
        <v>True-Up Charge</v>
      </c>
      <c r="K19" s="145" t="s">
        <v>47</v>
      </c>
      <c r="L19" s="146" t="s">
        <v>3</v>
      </c>
      <c r="M19" s="147" t="s">
        <v>7</v>
      </c>
      <c r="N19" s="148" t="s">
        <v>95</v>
      </c>
      <c r="O19" s="148" t="s">
        <v>84</v>
      </c>
      <c r="P19" s="148" t="s">
        <v>85</v>
      </c>
      <c r="Q19" s="148" t="s">
        <v>86</v>
      </c>
      <c r="R19" s="149" t="s">
        <v>2</v>
      </c>
    </row>
    <row r="20" spans="1:18" ht="12.75" customHeight="1" x14ac:dyDescent="0.2">
      <c r="A20" s="86">
        <v>1</v>
      </c>
      <c r="B20" s="150">
        <f>DATE($R$1,A20,1)</f>
        <v>45658</v>
      </c>
      <c r="C20" s="183">
        <v>45693</v>
      </c>
      <c r="D20" s="183">
        <v>45712</v>
      </c>
      <c r="E20" s="151" t="s">
        <v>21</v>
      </c>
      <c r="F20" s="86">
        <v>9</v>
      </c>
      <c r="G20" s="152">
        <v>2941</v>
      </c>
      <c r="H20" s="153">
        <f>+$K$3</f>
        <v>9.4686125004343911</v>
      </c>
      <c r="I20" s="153">
        <f t="shared" ref="I20:I63" si="1">$J$3</f>
        <v>10.334473961803646</v>
      </c>
      <c r="J20" s="104">
        <f t="shared" ref="J20:J108" si="2">+$G20*I20</f>
        <v>30393.687921664521</v>
      </c>
      <c r="K20" s="154">
        <f>+$G20*H20</f>
        <v>27847.189363777543</v>
      </c>
      <c r="L20" s="155">
        <f t="shared" ref="L20:L34" si="3">+J20-K20</f>
        <v>2546.4985578869782</v>
      </c>
      <c r="M20" s="104">
        <f>G20/$G$212*$M$14</f>
        <v>182.33302883457529</v>
      </c>
      <c r="N20" s="156">
        <f>SUM(L20:M20)</f>
        <v>2728.8315867215533</v>
      </c>
      <c r="O20" s="104">
        <v>0</v>
      </c>
      <c r="P20" s="104">
        <v>0</v>
      </c>
      <c r="Q20" s="104">
        <v>0</v>
      </c>
      <c r="R20" s="156">
        <f>+N20-Q20</f>
        <v>2728.8315867215533</v>
      </c>
    </row>
    <row r="21" spans="1:18" x14ac:dyDescent="0.2">
      <c r="A21" s="86">
        <v>2</v>
      </c>
      <c r="B21" s="150">
        <f t="shared" ref="B21:B108" si="4">DATE($R$1,A21,1)</f>
        <v>45689</v>
      </c>
      <c r="C21" s="183">
        <v>45721</v>
      </c>
      <c r="D21" s="183">
        <v>45740</v>
      </c>
      <c r="E21" s="157" t="s">
        <v>21</v>
      </c>
      <c r="F21" s="86">
        <v>9</v>
      </c>
      <c r="G21" s="152">
        <v>3221</v>
      </c>
      <c r="H21" s="153">
        <f t="shared" ref="H21:H84" si="5">+$K$3</f>
        <v>9.4686125004343911</v>
      </c>
      <c r="I21" s="153">
        <f t="shared" si="1"/>
        <v>10.334473961803646</v>
      </c>
      <c r="J21" s="104">
        <f t="shared" si="2"/>
        <v>33287.340630969542</v>
      </c>
      <c r="K21" s="154">
        <f t="shared" ref="K21:K33" si="6">+$G21*H21</f>
        <v>30498.400863899173</v>
      </c>
      <c r="L21" s="155">
        <f t="shared" si="3"/>
        <v>2788.9397670703693</v>
      </c>
      <c r="M21" s="104">
        <f t="shared" ref="M21:M84" si="7">G21/$G$212*$M$14</f>
        <v>199.69217472838048</v>
      </c>
      <c r="N21" s="156">
        <f t="shared" ref="N21:N84" si="8">SUM(L21:M21)</f>
        <v>2988.6319417987497</v>
      </c>
      <c r="O21" s="104">
        <v>0</v>
      </c>
      <c r="P21" s="104">
        <v>0</v>
      </c>
      <c r="Q21" s="104">
        <v>0</v>
      </c>
      <c r="R21" s="156">
        <f t="shared" ref="R21:R84" si="9">+N21-Q21</f>
        <v>2988.6319417987497</v>
      </c>
    </row>
    <row r="22" spans="1:18" x14ac:dyDescent="0.2">
      <c r="A22" s="86">
        <v>3</v>
      </c>
      <c r="B22" s="150">
        <f t="shared" si="4"/>
        <v>45717</v>
      </c>
      <c r="C22" s="183">
        <v>45750</v>
      </c>
      <c r="D22" s="183">
        <v>45771</v>
      </c>
      <c r="E22" s="157" t="s">
        <v>21</v>
      </c>
      <c r="F22" s="86">
        <v>9</v>
      </c>
      <c r="G22" s="152">
        <v>2419</v>
      </c>
      <c r="H22" s="153">
        <f t="shared" si="5"/>
        <v>9.4686125004343911</v>
      </c>
      <c r="I22" s="153">
        <f t="shared" si="1"/>
        <v>10.334473961803646</v>
      </c>
      <c r="J22" s="104">
        <f t="shared" si="2"/>
        <v>24999.09251360302</v>
      </c>
      <c r="K22" s="154">
        <f t="shared" si="6"/>
        <v>22904.573638550792</v>
      </c>
      <c r="L22" s="155">
        <f t="shared" si="3"/>
        <v>2094.5188750522284</v>
      </c>
      <c r="M22" s="104">
        <f t="shared" si="7"/>
        <v>149.97062113255276</v>
      </c>
      <c r="N22" s="156">
        <f t="shared" si="8"/>
        <v>2244.4894961847813</v>
      </c>
      <c r="O22" s="104">
        <v>0</v>
      </c>
      <c r="P22" s="104">
        <v>0</v>
      </c>
      <c r="Q22" s="104">
        <v>0</v>
      </c>
      <c r="R22" s="156">
        <f t="shared" si="9"/>
        <v>2244.4894961847813</v>
      </c>
    </row>
    <row r="23" spans="1:18" x14ac:dyDescent="0.2">
      <c r="A23" s="86">
        <v>4</v>
      </c>
      <c r="B23" s="150">
        <f t="shared" si="4"/>
        <v>45748</v>
      </c>
      <c r="C23" s="183">
        <v>45782</v>
      </c>
      <c r="D23" s="183">
        <v>45803</v>
      </c>
      <c r="E23" s="157" t="s">
        <v>21</v>
      </c>
      <c r="F23" s="86">
        <v>9</v>
      </c>
      <c r="G23" s="152">
        <v>2717</v>
      </c>
      <c r="H23" s="153">
        <f t="shared" si="5"/>
        <v>9.4686125004343911</v>
      </c>
      <c r="I23" s="153">
        <f t="shared" si="1"/>
        <v>10.334473961803646</v>
      </c>
      <c r="J23" s="104">
        <f t="shared" si="2"/>
        <v>28078.765754220505</v>
      </c>
      <c r="K23" s="154">
        <f t="shared" si="6"/>
        <v>25726.220163680242</v>
      </c>
      <c r="L23" s="155">
        <f t="shared" si="3"/>
        <v>2352.5455905402632</v>
      </c>
      <c r="M23" s="104">
        <f t="shared" si="7"/>
        <v>168.44571211953112</v>
      </c>
      <c r="N23" s="156">
        <f t="shared" si="8"/>
        <v>2520.9913026597942</v>
      </c>
      <c r="O23" s="104">
        <v>0</v>
      </c>
      <c r="P23" s="104">
        <v>0</v>
      </c>
      <c r="Q23" s="104">
        <v>0</v>
      </c>
      <c r="R23" s="156">
        <f t="shared" si="9"/>
        <v>2520.9913026597942</v>
      </c>
    </row>
    <row r="24" spans="1:18" ht="12" customHeight="1" x14ac:dyDescent="0.2">
      <c r="A24" s="86">
        <v>5</v>
      </c>
      <c r="B24" s="150">
        <f t="shared" si="4"/>
        <v>45778</v>
      </c>
      <c r="C24" s="183">
        <v>45812</v>
      </c>
      <c r="D24" s="183">
        <v>45832</v>
      </c>
      <c r="E24" s="1" t="s">
        <v>21</v>
      </c>
      <c r="F24" s="86">
        <v>9</v>
      </c>
      <c r="G24" s="152">
        <v>3378</v>
      </c>
      <c r="H24" s="153">
        <f t="shared" si="5"/>
        <v>9.4686125004343911</v>
      </c>
      <c r="I24" s="153">
        <f t="shared" si="1"/>
        <v>10.334473961803646</v>
      </c>
      <c r="J24" s="104">
        <f t="shared" si="2"/>
        <v>34909.853042972718</v>
      </c>
      <c r="K24" s="154">
        <f t="shared" si="6"/>
        <v>31984.973026467374</v>
      </c>
      <c r="L24" s="155">
        <f t="shared" si="3"/>
        <v>2924.8800165053435</v>
      </c>
      <c r="M24" s="104">
        <f t="shared" si="7"/>
        <v>209.42569581883552</v>
      </c>
      <c r="N24" s="156">
        <f t="shared" si="8"/>
        <v>3134.3057123241792</v>
      </c>
      <c r="O24" s="104">
        <v>0</v>
      </c>
      <c r="P24" s="104">
        <v>0</v>
      </c>
      <c r="Q24" s="104">
        <v>0</v>
      </c>
      <c r="R24" s="156">
        <f t="shared" si="9"/>
        <v>3134.3057123241792</v>
      </c>
    </row>
    <row r="25" spans="1:18" x14ac:dyDescent="0.2">
      <c r="A25" s="86">
        <v>6</v>
      </c>
      <c r="B25" s="150">
        <f t="shared" si="4"/>
        <v>45809</v>
      </c>
      <c r="C25" s="183">
        <v>45841</v>
      </c>
      <c r="D25" s="183">
        <v>45862</v>
      </c>
      <c r="E25" s="1" t="s">
        <v>21</v>
      </c>
      <c r="F25" s="86">
        <v>9</v>
      </c>
      <c r="G25" s="152">
        <v>3824</v>
      </c>
      <c r="H25" s="153">
        <f t="shared" si="5"/>
        <v>9.4686125004343911</v>
      </c>
      <c r="I25" s="153">
        <f t="shared" si="1"/>
        <v>10.334473961803646</v>
      </c>
      <c r="J25" s="104">
        <f t="shared" si="2"/>
        <v>39519.028429937141</v>
      </c>
      <c r="K25" s="154">
        <f t="shared" si="6"/>
        <v>36207.974201661113</v>
      </c>
      <c r="L25" s="155">
        <f t="shared" si="3"/>
        <v>3311.0542282760289</v>
      </c>
      <c r="M25" s="104">
        <f t="shared" si="7"/>
        <v>237.07633534968238</v>
      </c>
      <c r="N25" s="156">
        <f t="shared" si="8"/>
        <v>3548.1305636257111</v>
      </c>
      <c r="O25" s="104">
        <v>0</v>
      </c>
      <c r="P25" s="104">
        <v>0</v>
      </c>
      <c r="Q25" s="104">
        <v>0</v>
      </c>
      <c r="R25" s="156">
        <f t="shared" si="9"/>
        <v>3548.1305636257111</v>
      </c>
    </row>
    <row r="26" spans="1:18" x14ac:dyDescent="0.2">
      <c r="A26" s="86">
        <v>7</v>
      </c>
      <c r="B26" s="150">
        <f t="shared" si="4"/>
        <v>45839</v>
      </c>
      <c r="C26" s="183">
        <v>45874</v>
      </c>
      <c r="D26" s="183">
        <v>45894</v>
      </c>
      <c r="E26" s="1" t="s">
        <v>21</v>
      </c>
      <c r="F26" s="86">
        <v>9</v>
      </c>
      <c r="G26" s="152">
        <v>4110</v>
      </c>
      <c r="H26" s="153">
        <f t="shared" si="5"/>
        <v>9.4686125004343911</v>
      </c>
      <c r="I26" s="153">
        <f t="shared" si="1"/>
        <v>10.334473961803646</v>
      </c>
      <c r="J26" s="104">
        <f t="shared" si="2"/>
        <v>42474.687983012984</v>
      </c>
      <c r="K26" s="154">
        <f t="shared" si="6"/>
        <v>38915.997376785344</v>
      </c>
      <c r="L26" s="155">
        <f t="shared" si="3"/>
        <v>3558.6906062276394</v>
      </c>
      <c r="M26" s="104">
        <f t="shared" si="7"/>
        <v>254.80746294121198</v>
      </c>
      <c r="N26" s="156">
        <f t="shared" si="8"/>
        <v>3813.4980691688515</v>
      </c>
      <c r="O26" s="104">
        <v>0</v>
      </c>
      <c r="P26" s="104">
        <v>0</v>
      </c>
      <c r="Q26" s="104">
        <v>0</v>
      </c>
      <c r="R26" s="156">
        <f t="shared" si="9"/>
        <v>3813.4980691688515</v>
      </c>
    </row>
    <row r="27" spans="1:18" x14ac:dyDescent="0.2">
      <c r="A27" s="86">
        <v>8</v>
      </c>
      <c r="B27" s="150">
        <f t="shared" si="4"/>
        <v>45870</v>
      </c>
      <c r="C27" s="183">
        <v>45904</v>
      </c>
      <c r="D27" s="183">
        <v>45924</v>
      </c>
      <c r="E27" s="1" t="s">
        <v>21</v>
      </c>
      <c r="F27" s="86">
        <v>9</v>
      </c>
      <c r="G27" s="152">
        <v>4096</v>
      </c>
      <c r="H27" s="153">
        <f t="shared" si="5"/>
        <v>9.4686125004343911</v>
      </c>
      <c r="I27" s="153">
        <f t="shared" si="1"/>
        <v>10.334473961803646</v>
      </c>
      <c r="J27" s="104">
        <f t="shared" si="2"/>
        <v>42330.005347547733</v>
      </c>
      <c r="K27" s="154">
        <f t="shared" si="6"/>
        <v>38783.436801779266</v>
      </c>
      <c r="L27" s="155">
        <f t="shared" si="3"/>
        <v>3546.5685457684667</v>
      </c>
      <c r="M27" s="104">
        <f t="shared" si="7"/>
        <v>253.9395056465217</v>
      </c>
      <c r="N27" s="156">
        <f t="shared" si="8"/>
        <v>3800.5080514149886</v>
      </c>
      <c r="O27" s="104">
        <v>0</v>
      </c>
      <c r="P27" s="104">
        <v>0</v>
      </c>
      <c r="Q27" s="104">
        <v>0</v>
      </c>
      <c r="R27" s="156">
        <f t="shared" si="9"/>
        <v>3800.5080514149886</v>
      </c>
    </row>
    <row r="28" spans="1:18" x14ac:dyDescent="0.2">
      <c r="A28" s="86">
        <v>9</v>
      </c>
      <c r="B28" s="150">
        <f t="shared" si="4"/>
        <v>45901</v>
      </c>
      <c r="C28" s="183">
        <v>45933</v>
      </c>
      <c r="D28" s="183">
        <v>45954</v>
      </c>
      <c r="E28" s="1" t="s">
        <v>21</v>
      </c>
      <c r="F28" s="86">
        <v>9</v>
      </c>
      <c r="G28" s="152">
        <v>3657</v>
      </c>
      <c r="H28" s="153">
        <f t="shared" si="5"/>
        <v>9.4686125004343911</v>
      </c>
      <c r="I28" s="153">
        <f t="shared" si="1"/>
        <v>10.334473961803646</v>
      </c>
      <c r="J28" s="104">
        <f t="shared" si="2"/>
        <v>37793.171278315931</v>
      </c>
      <c r="K28" s="154">
        <f t="shared" si="6"/>
        <v>34626.715914088571</v>
      </c>
      <c r="L28" s="155">
        <f t="shared" si="3"/>
        <v>3166.4553642273604</v>
      </c>
      <c r="M28" s="104">
        <f t="shared" si="7"/>
        <v>226.72284476301999</v>
      </c>
      <c r="N28" s="156">
        <f t="shared" si="8"/>
        <v>3393.1782089903804</v>
      </c>
      <c r="O28" s="104">
        <v>0</v>
      </c>
      <c r="P28" s="104">
        <v>0</v>
      </c>
      <c r="Q28" s="104">
        <v>0</v>
      </c>
      <c r="R28" s="156">
        <f t="shared" si="9"/>
        <v>3393.1782089903804</v>
      </c>
    </row>
    <row r="29" spans="1:18" x14ac:dyDescent="0.2">
      <c r="A29" s="86">
        <v>10</v>
      </c>
      <c r="B29" s="150">
        <f t="shared" si="4"/>
        <v>45931</v>
      </c>
      <c r="C29" s="183">
        <v>45966</v>
      </c>
      <c r="D29" s="183">
        <v>45985</v>
      </c>
      <c r="E29" s="1" t="s">
        <v>21</v>
      </c>
      <c r="F29" s="86">
        <v>9</v>
      </c>
      <c r="G29" s="152">
        <v>3261</v>
      </c>
      <c r="H29" s="153">
        <f t="shared" si="5"/>
        <v>9.4686125004343911</v>
      </c>
      <c r="I29" s="153">
        <f t="shared" si="1"/>
        <v>10.334473961803646</v>
      </c>
      <c r="J29" s="104">
        <f t="shared" si="2"/>
        <v>33700.719589441687</v>
      </c>
      <c r="K29" s="154">
        <f t="shared" si="6"/>
        <v>30877.145363916548</v>
      </c>
      <c r="L29" s="155">
        <f t="shared" si="3"/>
        <v>2823.5742255251389</v>
      </c>
      <c r="M29" s="104">
        <f t="shared" si="7"/>
        <v>202.17205271320981</v>
      </c>
      <c r="N29" s="156">
        <f t="shared" si="8"/>
        <v>3025.7462782383486</v>
      </c>
      <c r="O29" s="104">
        <v>0</v>
      </c>
      <c r="P29" s="104">
        <v>0</v>
      </c>
      <c r="Q29" s="104">
        <v>0</v>
      </c>
      <c r="R29" s="156">
        <f t="shared" si="9"/>
        <v>3025.7462782383486</v>
      </c>
    </row>
    <row r="30" spans="1:18" x14ac:dyDescent="0.2">
      <c r="A30" s="86">
        <v>11</v>
      </c>
      <c r="B30" s="150">
        <f t="shared" si="4"/>
        <v>45962</v>
      </c>
      <c r="C30" s="183">
        <v>45994</v>
      </c>
      <c r="D30" s="183">
        <v>46015</v>
      </c>
      <c r="E30" s="1" t="s">
        <v>21</v>
      </c>
      <c r="F30" s="86">
        <v>9</v>
      </c>
      <c r="G30" s="152">
        <v>2449</v>
      </c>
      <c r="H30" s="153">
        <f t="shared" si="5"/>
        <v>9.4686125004343911</v>
      </c>
      <c r="I30" s="153">
        <f t="shared" si="1"/>
        <v>10.334473961803646</v>
      </c>
      <c r="J30" s="104">
        <f t="shared" si="2"/>
        <v>25309.126732457127</v>
      </c>
      <c r="K30" s="154">
        <f t="shared" si="6"/>
        <v>23188.632013563823</v>
      </c>
      <c r="L30" s="155">
        <f t="shared" si="3"/>
        <v>2120.4947188933038</v>
      </c>
      <c r="M30" s="104">
        <f t="shared" si="7"/>
        <v>151.83052962117472</v>
      </c>
      <c r="N30" s="156">
        <f t="shared" si="8"/>
        <v>2272.3252485144785</v>
      </c>
      <c r="O30" s="104">
        <v>0</v>
      </c>
      <c r="P30" s="104">
        <v>0</v>
      </c>
      <c r="Q30" s="104">
        <v>0</v>
      </c>
      <c r="R30" s="156">
        <f t="shared" si="9"/>
        <v>2272.3252485144785</v>
      </c>
    </row>
    <row r="31" spans="1:18" x14ac:dyDescent="0.2">
      <c r="A31" s="86">
        <v>12</v>
      </c>
      <c r="B31" s="150">
        <f t="shared" si="4"/>
        <v>45992</v>
      </c>
      <c r="C31" s="184">
        <v>46028</v>
      </c>
      <c r="D31" s="185">
        <v>46048</v>
      </c>
      <c r="E31" s="1" t="s">
        <v>21</v>
      </c>
      <c r="F31" s="86">
        <v>9</v>
      </c>
      <c r="G31" s="190">
        <v>2817</v>
      </c>
      <c r="H31" s="158">
        <f t="shared" si="5"/>
        <v>9.4686125004343911</v>
      </c>
      <c r="I31" s="158">
        <f t="shared" si="1"/>
        <v>10.334473961803646</v>
      </c>
      <c r="J31" s="159">
        <f t="shared" si="2"/>
        <v>29112.213150400868</v>
      </c>
      <c r="K31" s="160">
        <f t="shared" si="6"/>
        <v>26673.081413723681</v>
      </c>
      <c r="L31" s="161">
        <f t="shared" si="3"/>
        <v>2439.1317366771873</v>
      </c>
      <c r="M31" s="159">
        <f t="shared" si="7"/>
        <v>174.64540708160442</v>
      </c>
      <c r="N31" s="191">
        <f t="shared" si="8"/>
        <v>2613.7771437587917</v>
      </c>
      <c r="O31" s="159">
        <v>0</v>
      </c>
      <c r="P31" s="159">
        <v>0</v>
      </c>
      <c r="Q31" s="159">
        <v>0</v>
      </c>
      <c r="R31" s="191">
        <f t="shared" si="9"/>
        <v>2613.7771437587917</v>
      </c>
    </row>
    <row r="32" spans="1:18" x14ac:dyDescent="0.2">
      <c r="A32" s="86">
        <v>1</v>
      </c>
      <c r="B32" s="162">
        <f t="shared" si="4"/>
        <v>45658</v>
      </c>
      <c r="C32" s="163">
        <f t="shared" ref="C32:D43" si="10">+C20</f>
        <v>45693</v>
      </c>
      <c r="D32" s="163">
        <f t="shared" si="10"/>
        <v>45712</v>
      </c>
      <c r="E32" s="164" t="s">
        <v>22</v>
      </c>
      <c r="F32" s="165">
        <v>9</v>
      </c>
      <c r="G32" s="152">
        <v>3414</v>
      </c>
      <c r="H32" s="153">
        <f t="shared" si="5"/>
        <v>9.4686125004343911</v>
      </c>
      <c r="I32" s="153">
        <f t="shared" si="1"/>
        <v>10.334473961803646</v>
      </c>
      <c r="J32" s="104">
        <f t="shared" si="2"/>
        <v>35281.894105597647</v>
      </c>
      <c r="K32" s="154">
        <f t="shared" si="6"/>
        <v>32325.843076483012</v>
      </c>
      <c r="L32" s="155">
        <f t="shared" si="3"/>
        <v>2956.0510291146347</v>
      </c>
      <c r="M32" s="104">
        <f t="shared" si="7"/>
        <v>211.65758600518194</v>
      </c>
      <c r="N32" s="156">
        <f t="shared" si="8"/>
        <v>3167.7086151198168</v>
      </c>
      <c r="O32" s="104">
        <v>0</v>
      </c>
      <c r="P32" s="104">
        <v>0</v>
      </c>
      <c r="Q32" s="104">
        <v>0</v>
      </c>
      <c r="R32" s="156">
        <f t="shared" si="9"/>
        <v>3167.7086151198168</v>
      </c>
    </row>
    <row r="33" spans="1:18" x14ac:dyDescent="0.2">
      <c r="A33" s="86">
        <v>2</v>
      </c>
      <c r="B33" s="150">
        <f t="shared" si="4"/>
        <v>45689</v>
      </c>
      <c r="C33" s="166">
        <f t="shared" si="10"/>
        <v>45721</v>
      </c>
      <c r="D33" s="166">
        <f t="shared" si="10"/>
        <v>45740</v>
      </c>
      <c r="E33" s="157" t="s">
        <v>22</v>
      </c>
      <c r="F33" s="86">
        <v>9</v>
      </c>
      <c r="G33" s="152">
        <v>3330</v>
      </c>
      <c r="H33" s="153">
        <f t="shared" si="5"/>
        <v>9.4686125004343911</v>
      </c>
      <c r="I33" s="153">
        <f t="shared" si="1"/>
        <v>10.334473961803646</v>
      </c>
      <c r="J33" s="104">
        <f t="shared" si="2"/>
        <v>34413.798292806139</v>
      </c>
      <c r="K33" s="154">
        <f t="shared" si="6"/>
        <v>31530.479626446522</v>
      </c>
      <c r="L33" s="155">
        <f t="shared" si="3"/>
        <v>2883.3186663596171</v>
      </c>
      <c r="M33" s="104">
        <f t="shared" si="7"/>
        <v>206.44984223704037</v>
      </c>
      <c r="N33" s="156">
        <f t="shared" si="8"/>
        <v>3089.7685085966573</v>
      </c>
      <c r="O33" s="104">
        <v>0</v>
      </c>
      <c r="P33" s="104">
        <v>0</v>
      </c>
      <c r="Q33" s="104">
        <v>0</v>
      </c>
      <c r="R33" s="156">
        <f t="shared" si="9"/>
        <v>3089.7685085966573</v>
      </c>
    </row>
    <row r="34" spans="1:18" x14ac:dyDescent="0.2">
      <c r="A34" s="86">
        <v>3</v>
      </c>
      <c r="B34" s="150">
        <f t="shared" si="4"/>
        <v>45717</v>
      </c>
      <c r="C34" s="166">
        <f t="shared" si="10"/>
        <v>45750</v>
      </c>
      <c r="D34" s="166">
        <f t="shared" si="10"/>
        <v>45771</v>
      </c>
      <c r="E34" s="157" t="s">
        <v>22</v>
      </c>
      <c r="F34" s="86">
        <v>9</v>
      </c>
      <c r="G34" s="152">
        <v>2483</v>
      </c>
      <c r="H34" s="153">
        <f t="shared" si="5"/>
        <v>9.4686125004343911</v>
      </c>
      <c r="I34" s="153">
        <f t="shared" si="1"/>
        <v>10.334473961803646</v>
      </c>
      <c r="J34" s="104">
        <f t="shared" si="2"/>
        <v>25660.498847158451</v>
      </c>
      <c r="K34" s="154">
        <f t="shared" ref="K34:K93" si="11">+$G34*H34</f>
        <v>23510.564838578593</v>
      </c>
      <c r="L34" s="155">
        <f t="shared" si="3"/>
        <v>2149.9340085798576</v>
      </c>
      <c r="M34" s="104">
        <f t="shared" si="7"/>
        <v>153.93842590827964</v>
      </c>
      <c r="N34" s="156">
        <f t="shared" si="8"/>
        <v>2303.8724344881371</v>
      </c>
      <c r="O34" s="104">
        <v>0</v>
      </c>
      <c r="P34" s="104">
        <v>0</v>
      </c>
      <c r="Q34" s="104">
        <v>0</v>
      </c>
      <c r="R34" s="156">
        <f t="shared" si="9"/>
        <v>2303.8724344881371</v>
      </c>
    </row>
    <row r="35" spans="1:18" x14ac:dyDescent="0.2">
      <c r="A35" s="86">
        <v>4</v>
      </c>
      <c r="B35" s="150">
        <f t="shared" si="4"/>
        <v>45748</v>
      </c>
      <c r="C35" s="166">
        <f t="shared" si="10"/>
        <v>45782</v>
      </c>
      <c r="D35" s="166">
        <f t="shared" si="10"/>
        <v>45803</v>
      </c>
      <c r="E35" s="157" t="s">
        <v>22</v>
      </c>
      <c r="F35" s="86">
        <v>9</v>
      </c>
      <c r="G35" s="152">
        <v>2549</v>
      </c>
      <c r="H35" s="153">
        <f t="shared" si="5"/>
        <v>9.4686125004343911</v>
      </c>
      <c r="I35" s="153">
        <f t="shared" si="1"/>
        <v>10.334473961803646</v>
      </c>
      <c r="J35" s="104">
        <f t="shared" si="2"/>
        <v>26342.574128637494</v>
      </c>
      <c r="K35" s="154">
        <f t="shared" si="11"/>
        <v>24135.493263607263</v>
      </c>
      <c r="L35" s="155">
        <f t="shared" ref="L35:L57" si="12">+J35-K35</f>
        <v>2207.0808650302315</v>
      </c>
      <c r="M35" s="104">
        <f t="shared" si="7"/>
        <v>158.03022458324801</v>
      </c>
      <c r="N35" s="156">
        <f t="shared" si="8"/>
        <v>2365.1110896134796</v>
      </c>
      <c r="O35" s="104">
        <v>0</v>
      </c>
      <c r="P35" s="104">
        <v>0</v>
      </c>
      <c r="Q35" s="104">
        <v>0</v>
      </c>
      <c r="R35" s="156">
        <f t="shared" si="9"/>
        <v>2365.1110896134796</v>
      </c>
    </row>
    <row r="36" spans="1:18" x14ac:dyDescent="0.2">
      <c r="A36" s="86">
        <v>5</v>
      </c>
      <c r="B36" s="150">
        <f t="shared" si="4"/>
        <v>45778</v>
      </c>
      <c r="C36" s="166">
        <f t="shared" si="10"/>
        <v>45812</v>
      </c>
      <c r="D36" s="166">
        <f t="shared" si="10"/>
        <v>45832</v>
      </c>
      <c r="E36" s="1" t="s">
        <v>22</v>
      </c>
      <c r="F36" s="86">
        <v>9</v>
      </c>
      <c r="G36" s="152">
        <v>3007</v>
      </c>
      <c r="H36" s="153">
        <f t="shared" si="5"/>
        <v>9.4686125004343911</v>
      </c>
      <c r="I36" s="153">
        <f t="shared" si="1"/>
        <v>10.334473961803646</v>
      </c>
      <c r="J36" s="104">
        <f t="shared" si="2"/>
        <v>31075.763203143564</v>
      </c>
      <c r="K36" s="154">
        <f t="shared" si="11"/>
        <v>28472.117788806216</v>
      </c>
      <c r="L36" s="155">
        <f t="shared" si="12"/>
        <v>2603.6454143373485</v>
      </c>
      <c r="M36" s="104">
        <f t="shared" si="7"/>
        <v>186.42482750954366</v>
      </c>
      <c r="N36" s="156">
        <f t="shared" si="8"/>
        <v>2790.0702418468923</v>
      </c>
      <c r="O36" s="104">
        <v>0</v>
      </c>
      <c r="P36" s="104">
        <v>0</v>
      </c>
      <c r="Q36" s="104">
        <v>0</v>
      </c>
      <c r="R36" s="156">
        <f t="shared" si="9"/>
        <v>2790.0702418468923</v>
      </c>
    </row>
    <row r="37" spans="1:18" x14ac:dyDescent="0.2">
      <c r="A37" s="86">
        <v>6</v>
      </c>
      <c r="B37" s="150">
        <f t="shared" si="4"/>
        <v>45809</v>
      </c>
      <c r="C37" s="166">
        <f t="shared" si="10"/>
        <v>45841</v>
      </c>
      <c r="D37" s="166">
        <f t="shared" si="10"/>
        <v>45862</v>
      </c>
      <c r="E37" s="1" t="s">
        <v>22</v>
      </c>
      <c r="F37" s="86">
        <v>9</v>
      </c>
      <c r="G37" s="152">
        <v>3377</v>
      </c>
      <c r="H37" s="153">
        <f t="shared" si="5"/>
        <v>9.4686125004343911</v>
      </c>
      <c r="I37" s="153">
        <f t="shared" si="1"/>
        <v>10.334473961803646</v>
      </c>
      <c r="J37" s="104">
        <f t="shared" si="2"/>
        <v>34899.518569010914</v>
      </c>
      <c r="K37" s="154">
        <f t="shared" si="11"/>
        <v>31975.504413966937</v>
      </c>
      <c r="L37" s="155">
        <f t="shared" si="12"/>
        <v>2924.0141550439766</v>
      </c>
      <c r="M37" s="104">
        <f t="shared" si="7"/>
        <v>209.3636988692148</v>
      </c>
      <c r="N37" s="156">
        <f t="shared" si="8"/>
        <v>3133.3778539131913</v>
      </c>
      <c r="O37" s="104">
        <v>0</v>
      </c>
      <c r="P37" s="104">
        <v>0</v>
      </c>
      <c r="Q37" s="104">
        <v>0</v>
      </c>
      <c r="R37" s="156">
        <f t="shared" si="9"/>
        <v>3133.3778539131913</v>
      </c>
    </row>
    <row r="38" spans="1:18" x14ac:dyDescent="0.2">
      <c r="A38" s="86">
        <v>7</v>
      </c>
      <c r="B38" s="150">
        <f t="shared" si="4"/>
        <v>45839</v>
      </c>
      <c r="C38" s="166">
        <f t="shared" si="10"/>
        <v>45874</v>
      </c>
      <c r="D38" s="166">
        <f t="shared" si="10"/>
        <v>45894</v>
      </c>
      <c r="E38" s="1" t="s">
        <v>22</v>
      </c>
      <c r="F38" s="86">
        <v>9</v>
      </c>
      <c r="G38" s="152">
        <v>3723</v>
      </c>
      <c r="H38" s="153">
        <f t="shared" si="5"/>
        <v>9.4686125004343911</v>
      </c>
      <c r="I38" s="153">
        <f t="shared" si="1"/>
        <v>10.334473961803646</v>
      </c>
      <c r="J38" s="104">
        <f t="shared" si="2"/>
        <v>38475.24655979497</v>
      </c>
      <c r="K38" s="154">
        <f t="shared" si="11"/>
        <v>35251.644339117236</v>
      </c>
      <c r="L38" s="155">
        <f t="shared" si="12"/>
        <v>3223.6022206777343</v>
      </c>
      <c r="M38" s="104">
        <f t="shared" si="7"/>
        <v>230.81464343798839</v>
      </c>
      <c r="N38" s="156">
        <f t="shared" si="8"/>
        <v>3454.4168641157225</v>
      </c>
      <c r="O38" s="104">
        <v>0</v>
      </c>
      <c r="P38" s="104">
        <v>0</v>
      </c>
      <c r="Q38" s="104">
        <v>0</v>
      </c>
      <c r="R38" s="156">
        <f t="shared" si="9"/>
        <v>3454.4168641157225</v>
      </c>
    </row>
    <row r="39" spans="1:18" x14ac:dyDescent="0.2">
      <c r="A39" s="86">
        <v>8</v>
      </c>
      <c r="B39" s="150">
        <f t="shared" si="4"/>
        <v>45870</v>
      </c>
      <c r="C39" s="166">
        <f t="shared" si="10"/>
        <v>45904</v>
      </c>
      <c r="D39" s="166">
        <f t="shared" si="10"/>
        <v>45924</v>
      </c>
      <c r="E39" s="1" t="s">
        <v>22</v>
      </c>
      <c r="F39" s="86">
        <v>9</v>
      </c>
      <c r="G39" s="152">
        <v>3715</v>
      </c>
      <c r="H39" s="153">
        <f t="shared" si="5"/>
        <v>9.4686125004343911</v>
      </c>
      <c r="I39" s="153">
        <f t="shared" si="1"/>
        <v>10.334473961803646</v>
      </c>
      <c r="J39" s="104">
        <f t="shared" si="2"/>
        <v>38392.570768100544</v>
      </c>
      <c r="K39" s="154">
        <f t="shared" si="11"/>
        <v>35175.895439113759</v>
      </c>
      <c r="L39" s="155">
        <f t="shared" si="12"/>
        <v>3216.6753289867847</v>
      </c>
      <c r="M39" s="104">
        <f t="shared" si="7"/>
        <v>230.31866784102252</v>
      </c>
      <c r="N39" s="156">
        <f t="shared" si="8"/>
        <v>3446.9939968278072</v>
      </c>
      <c r="O39" s="104">
        <v>0</v>
      </c>
      <c r="P39" s="104">
        <v>0</v>
      </c>
      <c r="Q39" s="104">
        <v>0</v>
      </c>
      <c r="R39" s="156">
        <f t="shared" si="9"/>
        <v>3446.9939968278072</v>
      </c>
    </row>
    <row r="40" spans="1:18" x14ac:dyDescent="0.2">
      <c r="A40" s="86">
        <v>9</v>
      </c>
      <c r="B40" s="150">
        <f t="shared" si="4"/>
        <v>45901</v>
      </c>
      <c r="C40" s="166">
        <f t="shared" si="10"/>
        <v>45933</v>
      </c>
      <c r="D40" s="166">
        <f t="shared" si="10"/>
        <v>45954</v>
      </c>
      <c r="E40" s="1" t="s">
        <v>22</v>
      </c>
      <c r="F40" s="86">
        <v>9</v>
      </c>
      <c r="G40" s="152">
        <v>3256</v>
      </c>
      <c r="H40" s="153">
        <f t="shared" si="5"/>
        <v>9.4686125004343911</v>
      </c>
      <c r="I40" s="153">
        <f t="shared" si="1"/>
        <v>10.334473961803646</v>
      </c>
      <c r="J40" s="104">
        <f t="shared" si="2"/>
        <v>33649.047219632674</v>
      </c>
      <c r="K40" s="154">
        <f t="shared" si="11"/>
        <v>30829.802301414376</v>
      </c>
      <c r="L40" s="155">
        <f t="shared" si="12"/>
        <v>2819.2449182182972</v>
      </c>
      <c r="M40" s="104">
        <f t="shared" si="7"/>
        <v>201.86206796510615</v>
      </c>
      <c r="N40" s="156">
        <f t="shared" si="8"/>
        <v>3021.1069861834035</v>
      </c>
      <c r="O40" s="104">
        <v>0</v>
      </c>
      <c r="P40" s="104">
        <v>0</v>
      </c>
      <c r="Q40" s="104">
        <v>0</v>
      </c>
      <c r="R40" s="156">
        <f t="shared" si="9"/>
        <v>3021.1069861834035</v>
      </c>
    </row>
    <row r="41" spans="1:18" x14ac:dyDescent="0.2">
      <c r="A41" s="86">
        <v>10</v>
      </c>
      <c r="B41" s="150">
        <f t="shared" si="4"/>
        <v>45931</v>
      </c>
      <c r="C41" s="166">
        <f t="shared" si="10"/>
        <v>45966</v>
      </c>
      <c r="D41" s="166">
        <f t="shared" si="10"/>
        <v>45985</v>
      </c>
      <c r="E41" s="1" t="s">
        <v>22</v>
      </c>
      <c r="F41" s="86">
        <v>9</v>
      </c>
      <c r="G41" s="152">
        <v>3014</v>
      </c>
      <c r="H41" s="153">
        <f t="shared" si="5"/>
        <v>9.4686125004343911</v>
      </c>
      <c r="I41" s="153">
        <f t="shared" si="1"/>
        <v>10.334473961803646</v>
      </c>
      <c r="J41" s="104">
        <f t="shared" si="2"/>
        <v>31148.104520876186</v>
      </c>
      <c r="K41" s="154">
        <f t="shared" si="11"/>
        <v>28538.398076309255</v>
      </c>
      <c r="L41" s="155">
        <f t="shared" si="12"/>
        <v>2609.7064445669312</v>
      </c>
      <c r="M41" s="104">
        <f t="shared" si="7"/>
        <v>186.85880615688879</v>
      </c>
      <c r="N41" s="156">
        <f t="shared" si="8"/>
        <v>2796.5652507238201</v>
      </c>
      <c r="O41" s="104">
        <v>0</v>
      </c>
      <c r="P41" s="104">
        <v>0</v>
      </c>
      <c r="Q41" s="104">
        <v>0</v>
      </c>
      <c r="R41" s="156">
        <f t="shared" si="9"/>
        <v>2796.5652507238201</v>
      </c>
    </row>
    <row r="42" spans="1:18" x14ac:dyDescent="0.2">
      <c r="A42" s="86">
        <v>11</v>
      </c>
      <c r="B42" s="150">
        <f t="shared" si="4"/>
        <v>45962</v>
      </c>
      <c r="C42" s="166">
        <f t="shared" si="10"/>
        <v>45994</v>
      </c>
      <c r="D42" s="166">
        <f t="shared" si="10"/>
        <v>46015</v>
      </c>
      <c r="E42" s="1" t="s">
        <v>22</v>
      </c>
      <c r="F42" s="86">
        <v>9</v>
      </c>
      <c r="G42" s="152">
        <v>2338</v>
      </c>
      <c r="H42" s="153">
        <f t="shared" si="5"/>
        <v>9.4686125004343911</v>
      </c>
      <c r="I42" s="153">
        <f t="shared" si="1"/>
        <v>10.334473961803646</v>
      </c>
      <c r="J42" s="104">
        <f t="shared" si="2"/>
        <v>24162.000122696925</v>
      </c>
      <c r="K42" s="154">
        <f t="shared" si="11"/>
        <v>22137.616026015607</v>
      </c>
      <c r="L42" s="155">
        <f t="shared" si="12"/>
        <v>2024.3840966813186</v>
      </c>
      <c r="M42" s="104">
        <f t="shared" si="7"/>
        <v>144.94886821327339</v>
      </c>
      <c r="N42" s="156">
        <f t="shared" si="8"/>
        <v>2169.3329648945919</v>
      </c>
      <c r="O42" s="104">
        <v>0</v>
      </c>
      <c r="P42" s="104">
        <v>0</v>
      </c>
      <c r="Q42" s="104">
        <v>0</v>
      </c>
      <c r="R42" s="156">
        <f t="shared" si="9"/>
        <v>2169.3329648945919</v>
      </c>
    </row>
    <row r="43" spans="1:18" x14ac:dyDescent="0.2">
      <c r="A43" s="86">
        <v>12</v>
      </c>
      <c r="B43" s="150">
        <f t="shared" si="4"/>
        <v>45992</v>
      </c>
      <c r="C43" s="166">
        <f t="shared" si="10"/>
        <v>46028</v>
      </c>
      <c r="D43" s="166">
        <f t="shared" si="10"/>
        <v>46048</v>
      </c>
      <c r="E43" s="1" t="s">
        <v>22</v>
      </c>
      <c r="F43" s="86">
        <v>9</v>
      </c>
      <c r="G43" s="190">
        <v>2969</v>
      </c>
      <c r="H43" s="158">
        <f t="shared" si="5"/>
        <v>9.4686125004343911</v>
      </c>
      <c r="I43" s="158">
        <f t="shared" si="1"/>
        <v>10.334473961803646</v>
      </c>
      <c r="J43" s="159">
        <f t="shared" si="2"/>
        <v>30683.053192595024</v>
      </c>
      <c r="K43" s="160">
        <f t="shared" si="11"/>
        <v>28112.310513789707</v>
      </c>
      <c r="L43" s="161">
        <f t="shared" si="12"/>
        <v>2570.7426788053162</v>
      </c>
      <c r="M43" s="159">
        <f t="shared" si="7"/>
        <v>184.06894342395583</v>
      </c>
      <c r="N43" s="191">
        <f t="shared" si="8"/>
        <v>2754.811622229272</v>
      </c>
      <c r="O43" s="159">
        <v>0</v>
      </c>
      <c r="P43" s="159">
        <v>0</v>
      </c>
      <c r="Q43" s="159">
        <v>0</v>
      </c>
      <c r="R43" s="191">
        <f t="shared" si="9"/>
        <v>2754.811622229272</v>
      </c>
    </row>
    <row r="44" spans="1:18" x14ac:dyDescent="0.2">
      <c r="A44" s="86">
        <v>1</v>
      </c>
      <c r="B44" s="162">
        <f t="shared" ref="B44:B55" si="13">DATE($R$1,A44,1)</f>
        <v>45658</v>
      </c>
      <c r="C44" s="163">
        <f t="shared" ref="C44:D55" si="14">+C32</f>
        <v>45693</v>
      </c>
      <c r="D44" s="163">
        <f t="shared" si="14"/>
        <v>45712</v>
      </c>
      <c r="E44" s="164" t="s">
        <v>81</v>
      </c>
      <c r="F44" s="165">
        <v>9</v>
      </c>
      <c r="G44" s="152">
        <v>211</v>
      </c>
      <c r="H44" s="153">
        <f t="shared" si="5"/>
        <v>9.4686125004343911</v>
      </c>
      <c r="I44" s="153">
        <f t="shared" si="1"/>
        <v>10.334473961803646</v>
      </c>
      <c r="J44" s="104">
        <f t="shared" ref="J44:J55" si="15">+$G44*I44</f>
        <v>2180.5740059405694</v>
      </c>
      <c r="K44" s="154">
        <f t="shared" ref="K44:K55" si="16">+$G44*H44</f>
        <v>1997.8772375916565</v>
      </c>
      <c r="L44" s="155">
        <f t="shared" ref="L44:L55" si="17">+J44-K44</f>
        <v>182.69676834891288</v>
      </c>
      <c r="M44" s="104">
        <f t="shared" si="7"/>
        <v>13.08135636997463</v>
      </c>
      <c r="N44" s="156">
        <f t="shared" si="8"/>
        <v>195.77812471888751</v>
      </c>
      <c r="O44" s="104">
        <v>0</v>
      </c>
      <c r="P44" s="104">
        <v>0</v>
      </c>
      <c r="Q44" s="104">
        <v>0</v>
      </c>
      <c r="R44" s="156">
        <f t="shared" si="9"/>
        <v>195.77812471888751</v>
      </c>
    </row>
    <row r="45" spans="1:18" x14ac:dyDescent="0.2">
      <c r="A45" s="86">
        <v>2</v>
      </c>
      <c r="B45" s="150">
        <f t="shared" si="13"/>
        <v>45689</v>
      </c>
      <c r="C45" s="166">
        <f t="shared" si="14"/>
        <v>45721</v>
      </c>
      <c r="D45" s="166">
        <f t="shared" si="14"/>
        <v>45740</v>
      </c>
      <c r="E45" s="157" t="s">
        <v>81</v>
      </c>
      <c r="F45" s="86">
        <v>9</v>
      </c>
      <c r="G45" s="152">
        <v>200</v>
      </c>
      <c r="H45" s="153">
        <f t="shared" si="5"/>
        <v>9.4686125004343911</v>
      </c>
      <c r="I45" s="153">
        <f t="shared" si="1"/>
        <v>10.334473961803646</v>
      </c>
      <c r="J45" s="104">
        <f t="shared" si="15"/>
        <v>2066.8947923607293</v>
      </c>
      <c r="K45" s="154">
        <f t="shared" si="16"/>
        <v>1893.7225000868782</v>
      </c>
      <c r="L45" s="155">
        <f t="shared" si="17"/>
        <v>173.1722922738511</v>
      </c>
      <c r="M45" s="104">
        <f t="shared" si="7"/>
        <v>12.399389924146568</v>
      </c>
      <c r="N45" s="156">
        <f t="shared" si="8"/>
        <v>185.57168219799766</v>
      </c>
      <c r="O45" s="104">
        <v>0</v>
      </c>
      <c r="P45" s="104">
        <v>0</v>
      </c>
      <c r="Q45" s="104">
        <v>0</v>
      </c>
      <c r="R45" s="156">
        <f t="shared" si="9"/>
        <v>185.57168219799766</v>
      </c>
    </row>
    <row r="46" spans="1:18" x14ac:dyDescent="0.2">
      <c r="A46" s="86">
        <v>3</v>
      </c>
      <c r="B46" s="150">
        <f t="shared" si="13"/>
        <v>45717</v>
      </c>
      <c r="C46" s="166">
        <f t="shared" si="14"/>
        <v>45750</v>
      </c>
      <c r="D46" s="166">
        <f t="shared" si="14"/>
        <v>45771</v>
      </c>
      <c r="E46" s="157" t="s">
        <v>81</v>
      </c>
      <c r="F46" s="86">
        <v>9</v>
      </c>
      <c r="G46" s="152">
        <v>122</v>
      </c>
      <c r="H46" s="153">
        <f t="shared" si="5"/>
        <v>9.4686125004343911</v>
      </c>
      <c r="I46" s="153">
        <f t="shared" si="1"/>
        <v>10.334473961803646</v>
      </c>
      <c r="J46" s="104">
        <f t="shared" si="15"/>
        <v>1260.8058233400448</v>
      </c>
      <c r="K46" s="154">
        <f t="shared" si="16"/>
        <v>1155.1707250529957</v>
      </c>
      <c r="L46" s="155">
        <f t="shared" si="17"/>
        <v>105.635098287049</v>
      </c>
      <c r="M46" s="104">
        <f t="shared" si="7"/>
        <v>7.5636278537294066</v>
      </c>
      <c r="N46" s="156">
        <f t="shared" si="8"/>
        <v>113.1987261407784</v>
      </c>
      <c r="O46" s="104">
        <v>0</v>
      </c>
      <c r="P46" s="104">
        <v>0</v>
      </c>
      <c r="Q46" s="104">
        <v>0</v>
      </c>
      <c r="R46" s="156">
        <f t="shared" si="9"/>
        <v>113.1987261407784</v>
      </c>
    </row>
    <row r="47" spans="1:18" x14ac:dyDescent="0.2">
      <c r="A47" s="86">
        <v>4</v>
      </c>
      <c r="B47" s="150">
        <f t="shared" si="13"/>
        <v>45748</v>
      </c>
      <c r="C47" s="166">
        <f t="shared" si="14"/>
        <v>45782</v>
      </c>
      <c r="D47" s="166">
        <f t="shared" si="14"/>
        <v>45803</v>
      </c>
      <c r="E47" s="157" t="s">
        <v>81</v>
      </c>
      <c r="F47" s="86">
        <v>9</v>
      </c>
      <c r="G47" s="152">
        <v>109</v>
      </c>
      <c r="H47" s="153">
        <f t="shared" si="5"/>
        <v>9.4686125004343911</v>
      </c>
      <c r="I47" s="153">
        <f t="shared" si="1"/>
        <v>10.334473961803646</v>
      </c>
      <c r="J47" s="104">
        <f t="shared" si="15"/>
        <v>1126.4576618365975</v>
      </c>
      <c r="K47" s="154">
        <f t="shared" si="16"/>
        <v>1032.0787625473486</v>
      </c>
      <c r="L47" s="155">
        <f t="shared" si="17"/>
        <v>94.37889928924892</v>
      </c>
      <c r="M47" s="104">
        <f t="shared" si="7"/>
        <v>6.7576675086598801</v>
      </c>
      <c r="N47" s="156">
        <f t="shared" si="8"/>
        <v>101.1365667979088</v>
      </c>
      <c r="O47" s="104">
        <v>0</v>
      </c>
      <c r="P47" s="104">
        <v>0</v>
      </c>
      <c r="Q47" s="104">
        <v>0</v>
      </c>
      <c r="R47" s="156">
        <f t="shared" si="9"/>
        <v>101.1365667979088</v>
      </c>
    </row>
    <row r="48" spans="1:18" x14ac:dyDescent="0.2">
      <c r="A48" s="86">
        <v>5</v>
      </c>
      <c r="B48" s="150">
        <f t="shared" si="13"/>
        <v>45778</v>
      </c>
      <c r="C48" s="166">
        <f t="shared" si="14"/>
        <v>45812</v>
      </c>
      <c r="D48" s="166">
        <f t="shared" si="14"/>
        <v>45832</v>
      </c>
      <c r="E48" s="157" t="s">
        <v>81</v>
      </c>
      <c r="F48" s="86">
        <v>9</v>
      </c>
      <c r="G48" s="152">
        <v>102</v>
      </c>
      <c r="H48" s="153">
        <f t="shared" si="5"/>
        <v>9.4686125004343911</v>
      </c>
      <c r="I48" s="153">
        <f t="shared" si="1"/>
        <v>10.334473961803646</v>
      </c>
      <c r="J48" s="104">
        <f t="shared" si="15"/>
        <v>1054.1163441039719</v>
      </c>
      <c r="K48" s="154">
        <f t="shared" si="16"/>
        <v>965.79847504430791</v>
      </c>
      <c r="L48" s="155">
        <f t="shared" si="17"/>
        <v>88.317869059663963</v>
      </c>
      <c r="M48" s="104">
        <f t="shared" si="7"/>
        <v>6.3236888613147499</v>
      </c>
      <c r="N48" s="156">
        <f t="shared" si="8"/>
        <v>94.641557920978713</v>
      </c>
      <c r="O48" s="104">
        <v>0</v>
      </c>
      <c r="P48" s="104">
        <v>0</v>
      </c>
      <c r="Q48" s="104">
        <v>0</v>
      </c>
      <c r="R48" s="156">
        <f t="shared" si="9"/>
        <v>94.641557920978713</v>
      </c>
    </row>
    <row r="49" spans="1:18" x14ac:dyDescent="0.2">
      <c r="A49" s="86">
        <v>6</v>
      </c>
      <c r="B49" s="150">
        <f t="shared" si="13"/>
        <v>45809</v>
      </c>
      <c r="C49" s="166">
        <f t="shared" si="14"/>
        <v>45841</v>
      </c>
      <c r="D49" s="166">
        <f t="shared" si="14"/>
        <v>45862</v>
      </c>
      <c r="E49" s="157" t="s">
        <v>81</v>
      </c>
      <c r="F49" s="86">
        <v>9</v>
      </c>
      <c r="G49" s="152">
        <v>131</v>
      </c>
      <c r="H49" s="153">
        <f t="shared" si="5"/>
        <v>9.4686125004343911</v>
      </c>
      <c r="I49" s="153">
        <f t="shared" si="1"/>
        <v>10.334473961803646</v>
      </c>
      <c r="J49" s="104">
        <f t="shared" si="15"/>
        <v>1353.8160889962776</v>
      </c>
      <c r="K49" s="154">
        <f t="shared" si="16"/>
        <v>1240.3882375569053</v>
      </c>
      <c r="L49" s="155">
        <f t="shared" si="17"/>
        <v>113.42785143937226</v>
      </c>
      <c r="M49" s="104">
        <f t="shared" si="7"/>
        <v>8.1216004003160016</v>
      </c>
      <c r="N49" s="156">
        <f t="shared" si="8"/>
        <v>121.54945183968826</v>
      </c>
      <c r="O49" s="104">
        <v>0</v>
      </c>
      <c r="P49" s="104">
        <v>0</v>
      </c>
      <c r="Q49" s="104">
        <v>0</v>
      </c>
      <c r="R49" s="156">
        <f t="shared" si="9"/>
        <v>121.54945183968826</v>
      </c>
    </row>
    <row r="50" spans="1:18" x14ac:dyDescent="0.2">
      <c r="A50" s="86">
        <v>7</v>
      </c>
      <c r="B50" s="150">
        <f t="shared" si="13"/>
        <v>45839</v>
      </c>
      <c r="C50" s="166">
        <f t="shared" si="14"/>
        <v>45874</v>
      </c>
      <c r="D50" s="166">
        <f t="shared" si="14"/>
        <v>45894</v>
      </c>
      <c r="E50" s="157" t="s">
        <v>81</v>
      </c>
      <c r="F50" s="86">
        <v>9</v>
      </c>
      <c r="G50" s="152">
        <v>146</v>
      </c>
      <c r="H50" s="153">
        <f t="shared" si="5"/>
        <v>9.4686125004343911</v>
      </c>
      <c r="I50" s="153">
        <f t="shared" si="1"/>
        <v>10.334473961803646</v>
      </c>
      <c r="J50" s="104">
        <f t="shared" si="15"/>
        <v>1508.8331984233323</v>
      </c>
      <c r="K50" s="154">
        <f t="shared" si="16"/>
        <v>1382.4174250634212</v>
      </c>
      <c r="L50" s="155">
        <f t="shared" si="17"/>
        <v>126.4157733599111</v>
      </c>
      <c r="M50" s="104">
        <f t="shared" si="7"/>
        <v>9.0515546446269948</v>
      </c>
      <c r="N50" s="156">
        <f t="shared" si="8"/>
        <v>135.4673280045381</v>
      </c>
      <c r="O50" s="104">
        <v>0</v>
      </c>
      <c r="P50" s="104">
        <v>0</v>
      </c>
      <c r="Q50" s="104">
        <v>0</v>
      </c>
      <c r="R50" s="156">
        <f t="shared" si="9"/>
        <v>135.4673280045381</v>
      </c>
    </row>
    <row r="51" spans="1:18" x14ac:dyDescent="0.2">
      <c r="A51" s="86">
        <v>8</v>
      </c>
      <c r="B51" s="150">
        <f t="shared" si="13"/>
        <v>45870</v>
      </c>
      <c r="C51" s="166">
        <f t="shared" si="14"/>
        <v>45904</v>
      </c>
      <c r="D51" s="166">
        <f t="shared" si="14"/>
        <v>45924</v>
      </c>
      <c r="E51" s="157" t="s">
        <v>81</v>
      </c>
      <c r="F51" s="86">
        <v>9</v>
      </c>
      <c r="G51" s="152">
        <v>149</v>
      </c>
      <c r="H51" s="153">
        <f t="shared" si="5"/>
        <v>9.4686125004343911</v>
      </c>
      <c r="I51" s="153">
        <f t="shared" si="1"/>
        <v>10.334473961803646</v>
      </c>
      <c r="J51" s="104">
        <f t="shared" si="15"/>
        <v>1539.8366203087432</v>
      </c>
      <c r="K51" s="154">
        <f t="shared" si="16"/>
        <v>1410.8232625647242</v>
      </c>
      <c r="L51" s="155">
        <f t="shared" si="17"/>
        <v>129.013357744019</v>
      </c>
      <c r="M51" s="104">
        <f t="shared" si="7"/>
        <v>9.2375454934891934</v>
      </c>
      <c r="N51" s="156">
        <f t="shared" si="8"/>
        <v>138.2509032375082</v>
      </c>
      <c r="O51" s="104">
        <v>0</v>
      </c>
      <c r="P51" s="104">
        <v>0</v>
      </c>
      <c r="Q51" s="104">
        <v>0</v>
      </c>
      <c r="R51" s="156">
        <f t="shared" si="9"/>
        <v>138.2509032375082</v>
      </c>
    </row>
    <row r="52" spans="1:18" x14ac:dyDescent="0.2">
      <c r="A52" s="86">
        <v>9</v>
      </c>
      <c r="B52" s="150">
        <f t="shared" si="13"/>
        <v>45901</v>
      </c>
      <c r="C52" s="166">
        <f t="shared" si="14"/>
        <v>45933</v>
      </c>
      <c r="D52" s="166">
        <f t="shared" si="14"/>
        <v>45954</v>
      </c>
      <c r="E52" s="157" t="s">
        <v>81</v>
      </c>
      <c r="F52" s="86">
        <v>9</v>
      </c>
      <c r="G52" s="152">
        <v>122</v>
      </c>
      <c r="H52" s="153">
        <f t="shared" si="5"/>
        <v>9.4686125004343911</v>
      </c>
      <c r="I52" s="153">
        <f t="shared" si="1"/>
        <v>10.334473961803646</v>
      </c>
      <c r="J52" s="104">
        <f t="shared" si="15"/>
        <v>1260.8058233400448</v>
      </c>
      <c r="K52" s="154">
        <f t="shared" si="16"/>
        <v>1155.1707250529957</v>
      </c>
      <c r="L52" s="155">
        <f t="shared" si="17"/>
        <v>105.635098287049</v>
      </c>
      <c r="M52" s="104">
        <f t="shared" si="7"/>
        <v>7.5636278537294066</v>
      </c>
      <c r="N52" s="156">
        <f t="shared" si="8"/>
        <v>113.1987261407784</v>
      </c>
      <c r="O52" s="104">
        <v>0</v>
      </c>
      <c r="P52" s="104">
        <v>0</v>
      </c>
      <c r="Q52" s="104">
        <v>0</v>
      </c>
      <c r="R52" s="156">
        <f t="shared" si="9"/>
        <v>113.1987261407784</v>
      </c>
    </row>
    <row r="53" spans="1:18" x14ac:dyDescent="0.2">
      <c r="A53" s="86">
        <v>10</v>
      </c>
      <c r="B53" s="150">
        <f t="shared" si="13"/>
        <v>45931</v>
      </c>
      <c r="C53" s="166">
        <f t="shared" si="14"/>
        <v>45966</v>
      </c>
      <c r="D53" s="166">
        <f t="shared" si="14"/>
        <v>45985</v>
      </c>
      <c r="E53" s="157" t="s">
        <v>81</v>
      </c>
      <c r="F53" s="86">
        <v>9</v>
      </c>
      <c r="G53" s="152">
        <v>117</v>
      </c>
      <c r="H53" s="153">
        <f t="shared" si="5"/>
        <v>9.4686125004343911</v>
      </c>
      <c r="I53" s="153">
        <f t="shared" si="1"/>
        <v>10.334473961803646</v>
      </c>
      <c r="J53" s="104">
        <f t="shared" si="15"/>
        <v>1209.1334535310266</v>
      </c>
      <c r="K53" s="154">
        <f t="shared" si="16"/>
        <v>1107.8276625508238</v>
      </c>
      <c r="L53" s="155">
        <f t="shared" si="17"/>
        <v>101.3057909802028</v>
      </c>
      <c r="M53" s="104">
        <f t="shared" si="7"/>
        <v>7.2536431056257431</v>
      </c>
      <c r="N53" s="156">
        <f t="shared" si="8"/>
        <v>108.55943408582854</v>
      </c>
      <c r="O53" s="104">
        <v>0</v>
      </c>
      <c r="P53" s="104">
        <v>0</v>
      </c>
      <c r="Q53" s="104">
        <v>0</v>
      </c>
      <c r="R53" s="156">
        <f t="shared" si="9"/>
        <v>108.55943408582854</v>
      </c>
    </row>
    <row r="54" spans="1:18" x14ac:dyDescent="0.2">
      <c r="A54" s="86">
        <v>11</v>
      </c>
      <c r="B54" s="150">
        <f t="shared" si="13"/>
        <v>45962</v>
      </c>
      <c r="C54" s="166">
        <f t="shared" si="14"/>
        <v>45994</v>
      </c>
      <c r="D54" s="166">
        <f t="shared" si="14"/>
        <v>46015</v>
      </c>
      <c r="E54" s="157" t="s">
        <v>81</v>
      </c>
      <c r="F54" s="86">
        <v>9</v>
      </c>
      <c r="G54" s="152">
        <v>118</v>
      </c>
      <c r="H54" s="153">
        <f t="shared" si="5"/>
        <v>9.4686125004343911</v>
      </c>
      <c r="I54" s="153">
        <f t="shared" si="1"/>
        <v>10.334473961803646</v>
      </c>
      <c r="J54" s="104">
        <f t="shared" si="15"/>
        <v>1219.4679274928301</v>
      </c>
      <c r="K54" s="154">
        <f t="shared" si="16"/>
        <v>1117.2962750512581</v>
      </c>
      <c r="L54" s="155">
        <f t="shared" si="17"/>
        <v>102.17165244157195</v>
      </c>
      <c r="M54" s="104">
        <f t="shared" si="7"/>
        <v>7.315640055246476</v>
      </c>
      <c r="N54" s="156">
        <f t="shared" si="8"/>
        <v>109.48729249681843</v>
      </c>
      <c r="O54" s="104">
        <v>0</v>
      </c>
      <c r="P54" s="104">
        <v>0</v>
      </c>
      <c r="Q54" s="104">
        <v>0</v>
      </c>
      <c r="R54" s="156">
        <f t="shared" si="9"/>
        <v>109.48729249681843</v>
      </c>
    </row>
    <row r="55" spans="1:18" x14ac:dyDescent="0.2">
      <c r="A55" s="86">
        <v>12</v>
      </c>
      <c r="B55" s="150">
        <f t="shared" si="13"/>
        <v>45992</v>
      </c>
      <c r="C55" s="166">
        <f t="shared" si="14"/>
        <v>46028</v>
      </c>
      <c r="D55" s="166">
        <f t="shared" si="14"/>
        <v>46048</v>
      </c>
      <c r="E55" s="157" t="s">
        <v>81</v>
      </c>
      <c r="F55" s="86">
        <v>9</v>
      </c>
      <c r="G55" s="190">
        <v>178</v>
      </c>
      <c r="H55" s="158">
        <f t="shared" si="5"/>
        <v>9.4686125004343911</v>
      </c>
      <c r="I55" s="158">
        <f t="shared" si="1"/>
        <v>10.334473961803646</v>
      </c>
      <c r="J55" s="159">
        <f t="shared" si="15"/>
        <v>1839.536365201049</v>
      </c>
      <c r="K55" s="160">
        <f t="shared" si="16"/>
        <v>1685.4130250773217</v>
      </c>
      <c r="L55" s="161">
        <f t="shared" si="17"/>
        <v>154.1233401237273</v>
      </c>
      <c r="M55" s="159">
        <f t="shared" si="7"/>
        <v>11.035457032490445</v>
      </c>
      <c r="N55" s="191">
        <f t="shared" si="8"/>
        <v>165.15879715621776</v>
      </c>
      <c r="O55" s="159">
        <v>0</v>
      </c>
      <c r="P55" s="159">
        <v>0</v>
      </c>
      <c r="Q55" s="159">
        <v>0</v>
      </c>
      <c r="R55" s="191">
        <f t="shared" si="9"/>
        <v>165.15879715621776</v>
      </c>
    </row>
    <row r="56" spans="1:18" s="167" customFormat="1" x14ac:dyDescent="0.2">
      <c r="A56" s="86">
        <v>1</v>
      </c>
      <c r="B56" s="162">
        <f t="shared" si="4"/>
        <v>45658</v>
      </c>
      <c r="C56" s="163">
        <f t="shared" ref="C56:D67" si="18">+C32</f>
        <v>45693</v>
      </c>
      <c r="D56" s="163">
        <f t="shared" si="18"/>
        <v>45712</v>
      </c>
      <c r="E56" s="164" t="s">
        <v>14</v>
      </c>
      <c r="F56" s="165">
        <v>9</v>
      </c>
      <c r="G56" s="152">
        <v>966</v>
      </c>
      <c r="H56" s="153">
        <f t="shared" si="5"/>
        <v>9.4686125004343911</v>
      </c>
      <c r="I56" s="153">
        <f t="shared" si="1"/>
        <v>10.334473961803646</v>
      </c>
      <c r="J56" s="104">
        <f t="shared" si="2"/>
        <v>9983.1018471023217</v>
      </c>
      <c r="K56" s="154">
        <f t="shared" si="11"/>
        <v>9146.6796754196221</v>
      </c>
      <c r="L56" s="155">
        <f t="shared" si="12"/>
        <v>836.42217168269963</v>
      </c>
      <c r="M56" s="104">
        <f t="shared" si="7"/>
        <v>59.889053333627928</v>
      </c>
      <c r="N56" s="156">
        <f t="shared" si="8"/>
        <v>896.31122501632751</v>
      </c>
      <c r="O56" s="104">
        <v>0</v>
      </c>
      <c r="P56" s="104">
        <v>0</v>
      </c>
      <c r="Q56" s="104">
        <v>0</v>
      </c>
      <c r="R56" s="156">
        <f t="shared" si="9"/>
        <v>896.31122501632751</v>
      </c>
    </row>
    <row r="57" spans="1:18" x14ac:dyDescent="0.2">
      <c r="A57" s="86">
        <v>2</v>
      </c>
      <c r="B57" s="150">
        <f t="shared" si="4"/>
        <v>45689</v>
      </c>
      <c r="C57" s="166">
        <f t="shared" si="18"/>
        <v>45721</v>
      </c>
      <c r="D57" s="166">
        <f t="shared" si="18"/>
        <v>45740</v>
      </c>
      <c r="E57" s="157" t="s">
        <v>14</v>
      </c>
      <c r="F57" s="86">
        <v>9</v>
      </c>
      <c r="G57" s="152">
        <v>1102</v>
      </c>
      <c r="H57" s="153">
        <f t="shared" si="5"/>
        <v>9.4686125004343911</v>
      </c>
      <c r="I57" s="153">
        <f t="shared" si="1"/>
        <v>10.334473961803646</v>
      </c>
      <c r="J57" s="104">
        <f t="shared" si="2"/>
        <v>11388.590305907617</v>
      </c>
      <c r="K57" s="154">
        <f t="shared" si="11"/>
        <v>10434.410975478699</v>
      </c>
      <c r="L57" s="155">
        <f t="shared" si="12"/>
        <v>954.17933042891855</v>
      </c>
      <c r="M57" s="104">
        <f t="shared" si="7"/>
        <v>68.320638482047585</v>
      </c>
      <c r="N57" s="156">
        <f t="shared" si="8"/>
        <v>1022.4999689109661</v>
      </c>
      <c r="O57" s="104">
        <v>0</v>
      </c>
      <c r="P57" s="104">
        <v>0</v>
      </c>
      <c r="Q57" s="104">
        <v>0</v>
      </c>
      <c r="R57" s="156">
        <f t="shared" si="9"/>
        <v>1022.4999689109661</v>
      </c>
    </row>
    <row r="58" spans="1:18" x14ac:dyDescent="0.2">
      <c r="A58" s="86">
        <v>3</v>
      </c>
      <c r="B58" s="150">
        <f t="shared" si="4"/>
        <v>45717</v>
      </c>
      <c r="C58" s="166">
        <f t="shared" si="18"/>
        <v>45750</v>
      </c>
      <c r="D58" s="166">
        <f t="shared" si="18"/>
        <v>45771</v>
      </c>
      <c r="E58" s="157" t="s">
        <v>14</v>
      </c>
      <c r="F58" s="86">
        <v>9</v>
      </c>
      <c r="G58" s="152">
        <v>715</v>
      </c>
      <c r="H58" s="153">
        <f t="shared" si="5"/>
        <v>9.4686125004343911</v>
      </c>
      <c r="I58" s="153">
        <f t="shared" si="1"/>
        <v>10.334473961803646</v>
      </c>
      <c r="J58" s="104">
        <f t="shared" si="2"/>
        <v>7389.1488826896066</v>
      </c>
      <c r="K58" s="154">
        <f t="shared" si="11"/>
        <v>6770.0579378105895</v>
      </c>
      <c r="L58" s="155">
        <f>+J58-K58</f>
        <v>619.09094487901712</v>
      </c>
      <c r="M58" s="104">
        <f t="shared" si="7"/>
        <v>44.327818978823977</v>
      </c>
      <c r="N58" s="156">
        <f t="shared" si="8"/>
        <v>663.4187638578411</v>
      </c>
      <c r="O58" s="104">
        <v>0</v>
      </c>
      <c r="P58" s="104">
        <v>0</v>
      </c>
      <c r="Q58" s="104">
        <v>0</v>
      </c>
      <c r="R58" s="156">
        <f t="shared" si="9"/>
        <v>663.4187638578411</v>
      </c>
    </row>
    <row r="59" spans="1:18" x14ac:dyDescent="0.2">
      <c r="A59" s="86">
        <v>4</v>
      </c>
      <c r="B59" s="150">
        <f t="shared" si="4"/>
        <v>45748</v>
      </c>
      <c r="C59" s="166">
        <f t="shared" si="18"/>
        <v>45782</v>
      </c>
      <c r="D59" s="166">
        <f t="shared" si="18"/>
        <v>45803</v>
      </c>
      <c r="E59" s="157" t="s">
        <v>14</v>
      </c>
      <c r="F59" s="86">
        <v>9</v>
      </c>
      <c r="G59" s="152">
        <v>581</v>
      </c>
      <c r="H59" s="153">
        <f t="shared" si="5"/>
        <v>9.4686125004343911</v>
      </c>
      <c r="I59" s="153">
        <f t="shared" si="1"/>
        <v>10.334473961803646</v>
      </c>
      <c r="J59" s="104">
        <f t="shared" si="2"/>
        <v>6004.3293718079185</v>
      </c>
      <c r="K59" s="154">
        <f t="shared" si="11"/>
        <v>5501.2638627523811</v>
      </c>
      <c r="L59" s="155">
        <f t="shared" ref="L59:L81" si="19">+J59-K59</f>
        <v>503.0655090555374</v>
      </c>
      <c r="M59" s="104">
        <f t="shared" si="7"/>
        <v>36.020227729645782</v>
      </c>
      <c r="N59" s="156">
        <f t="shared" si="8"/>
        <v>539.08573678518314</v>
      </c>
      <c r="O59" s="104">
        <v>0</v>
      </c>
      <c r="P59" s="104">
        <v>0</v>
      </c>
      <c r="Q59" s="104">
        <v>0</v>
      </c>
      <c r="R59" s="156">
        <f t="shared" si="9"/>
        <v>539.08573678518314</v>
      </c>
    </row>
    <row r="60" spans="1:18" x14ac:dyDescent="0.2">
      <c r="A60" s="86">
        <v>5</v>
      </c>
      <c r="B60" s="150">
        <f t="shared" si="4"/>
        <v>45778</v>
      </c>
      <c r="C60" s="166">
        <f t="shared" si="18"/>
        <v>45812</v>
      </c>
      <c r="D60" s="166">
        <f t="shared" si="18"/>
        <v>45832</v>
      </c>
      <c r="E60" s="1" t="s">
        <v>14</v>
      </c>
      <c r="F60" s="86">
        <v>9</v>
      </c>
      <c r="G60" s="152">
        <v>781</v>
      </c>
      <c r="H60" s="153">
        <f t="shared" si="5"/>
        <v>9.4686125004343911</v>
      </c>
      <c r="I60" s="153">
        <f t="shared" si="1"/>
        <v>10.334473961803646</v>
      </c>
      <c r="J60" s="104">
        <f t="shared" si="2"/>
        <v>8071.2241641686469</v>
      </c>
      <c r="K60" s="154">
        <f t="shared" si="11"/>
        <v>7394.9863628392595</v>
      </c>
      <c r="L60" s="155">
        <f t="shared" si="19"/>
        <v>676.23780132938737</v>
      </c>
      <c r="M60" s="104">
        <f t="shared" si="7"/>
        <v>48.419617653792351</v>
      </c>
      <c r="N60" s="156">
        <f t="shared" si="8"/>
        <v>724.6574189831797</v>
      </c>
      <c r="O60" s="104">
        <v>0</v>
      </c>
      <c r="P60" s="104">
        <v>0</v>
      </c>
      <c r="Q60" s="104">
        <v>0</v>
      </c>
      <c r="R60" s="156">
        <f t="shared" si="9"/>
        <v>724.6574189831797</v>
      </c>
    </row>
    <row r="61" spans="1:18" x14ac:dyDescent="0.2">
      <c r="A61" s="86">
        <v>6</v>
      </c>
      <c r="B61" s="150">
        <f t="shared" si="4"/>
        <v>45809</v>
      </c>
      <c r="C61" s="166">
        <f t="shared" si="18"/>
        <v>45841</v>
      </c>
      <c r="D61" s="166">
        <f t="shared" si="18"/>
        <v>45862</v>
      </c>
      <c r="E61" s="1" t="s">
        <v>14</v>
      </c>
      <c r="F61" s="86">
        <v>9</v>
      </c>
      <c r="G61" s="152">
        <v>896</v>
      </c>
      <c r="H61" s="153">
        <f t="shared" si="5"/>
        <v>9.4686125004343911</v>
      </c>
      <c r="I61" s="153">
        <f t="shared" si="1"/>
        <v>10.334473961803646</v>
      </c>
      <c r="J61" s="104">
        <f t="shared" si="2"/>
        <v>9259.6886697760674</v>
      </c>
      <c r="K61" s="154">
        <f t="shared" si="11"/>
        <v>8483.8768003892146</v>
      </c>
      <c r="L61" s="155">
        <f t="shared" si="19"/>
        <v>775.81186938685278</v>
      </c>
      <c r="M61" s="104">
        <f t="shared" si="7"/>
        <v>55.549266860176623</v>
      </c>
      <c r="N61" s="156">
        <f t="shared" si="8"/>
        <v>831.36113624702944</v>
      </c>
      <c r="O61" s="104">
        <v>0</v>
      </c>
      <c r="P61" s="104">
        <v>0</v>
      </c>
      <c r="Q61" s="104">
        <v>0</v>
      </c>
      <c r="R61" s="156">
        <f t="shared" si="9"/>
        <v>831.36113624702944</v>
      </c>
    </row>
    <row r="62" spans="1:18" x14ac:dyDescent="0.2">
      <c r="A62" s="86">
        <v>7</v>
      </c>
      <c r="B62" s="150">
        <f t="shared" si="4"/>
        <v>45839</v>
      </c>
      <c r="C62" s="166">
        <f t="shared" si="18"/>
        <v>45874</v>
      </c>
      <c r="D62" s="166">
        <f t="shared" si="18"/>
        <v>45894</v>
      </c>
      <c r="E62" s="1" t="s">
        <v>14</v>
      </c>
      <c r="F62" s="86">
        <v>9</v>
      </c>
      <c r="G62" s="152">
        <v>1028</v>
      </c>
      <c r="H62" s="153">
        <f t="shared" si="5"/>
        <v>9.4686125004343911</v>
      </c>
      <c r="I62" s="153">
        <f t="shared" si="1"/>
        <v>10.334473961803646</v>
      </c>
      <c r="J62" s="104">
        <f t="shared" si="2"/>
        <v>10623.839232734148</v>
      </c>
      <c r="K62" s="154">
        <f t="shared" si="11"/>
        <v>9733.7336504465547</v>
      </c>
      <c r="L62" s="155">
        <f t="shared" si="19"/>
        <v>890.10558228759328</v>
      </c>
      <c r="M62" s="104">
        <f t="shared" si="7"/>
        <v>63.732864210113362</v>
      </c>
      <c r="N62" s="156">
        <f t="shared" si="8"/>
        <v>953.83844649770663</v>
      </c>
      <c r="O62" s="104">
        <v>0</v>
      </c>
      <c r="P62" s="104">
        <v>0</v>
      </c>
      <c r="Q62" s="104">
        <v>0</v>
      </c>
      <c r="R62" s="156">
        <f t="shared" si="9"/>
        <v>953.83844649770663</v>
      </c>
    </row>
    <row r="63" spans="1:18" x14ac:dyDescent="0.2">
      <c r="A63" s="86">
        <v>8</v>
      </c>
      <c r="B63" s="150">
        <f t="shared" si="4"/>
        <v>45870</v>
      </c>
      <c r="C63" s="166">
        <f t="shared" si="18"/>
        <v>45904</v>
      </c>
      <c r="D63" s="166">
        <f t="shared" si="18"/>
        <v>45924</v>
      </c>
      <c r="E63" s="1" t="s">
        <v>14</v>
      </c>
      <c r="F63" s="86">
        <v>9</v>
      </c>
      <c r="G63" s="152">
        <v>1055</v>
      </c>
      <c r="H63" s="153">
        <f t="shared" si="5"/>
        <v>9.4686125004343911</v>
      </c>
      <c r="I63" s="153">
        <f t="shared" si="1"/>
        <v>10.334473961803646</v>
      </c>
      <c r="J63" s="104">
        <f t="shared" si="2"/>
        <v>10902.870029702846</v>
      </c>
      <c r="K63" s="154">
        <f t="shared" si="11"/>
        <v>9989.3861879582819</v>
      </c>
      <c r="L63" s="155">
        <f t="shared" si="19"/>
        <v>913.48384174456442</v>
      </c>
      <c r="M63" s="104">
        <f t="shared" si="7"/>
        <v>65.406781849873155</v>
      </c>
      <c r="N63" s="156">
        <f t="shared" si="8"/>
        <v>978.89062359443756</v>
      </c>
      <c r="O63" s="104">
        <v>0</v>
      </c>
      <c r="P63" s="104">
        <v>0</v>
      </c>
      <c r="Q63" s="104">
        <v>0</v>
      </c>
      <c r="R63" s="156">
        <f t="shared" si="9"/>
        <v>978.89062359443756</v>
      </c>
    </row>
    <row r="64" spans="1:18" x14ac:dyDescent="0.2">
      <c r="A64" s="86">
        <v>9</v>
      </c>
      <c r="B64" s="150">
        <f t="shared" si="4"/>
        <v>45901</v>
      </c>
      <c r="C64" s="166">
        <f t="shared" si="18"/>
        <v>45933</v>
      </c>
      <c r="D64" s="166">
        <f t="shared" si="18"/>
        <v>45954</v>
      </c>
      <c r="E64" s="1" t="s">
        <v>14</v>
      </c>
      <c r="F64" s="86">
        <v>9</v>
      </c>
      <c r="G64" s="152">
        <v>815</v>
      </c>
      <c r="H64" s="153">
        <f t="shared" si="5"/>
        <v>9.4686125004343911</v>
      </c>
      <c r="I64" s="153">
        <f t="shared" ref="I64:I107" si="20">$J$3</f>
        <v>10.334473961803646</v>
      </c>
      <c r="J64" s="104">
        <f t="shared" si="2"/>
        <v>8422.5962788699708</v>
      </c>
      <c r="K64" s="154">
        <f t="shared" si="11"/>
        <v>7716.9191878540287</v>
      </c>
      <c r="L64" s="155">
        <f t="shared" si="19"/>
        <v>705.6770910159421</v>
      </c>
      <c r="M64" s="104">
        <f t="shared" si="7"/>
        <v>50.527513940897265</v>
      </c>
      <c r="N64" s="156">
        <f t="shared" si="8"/>
        <v>756.20460495683938</v>
      </c>
      <c r="O64" s="104">
        <v>0</v>
      </c>
      <c r="P64" s="104">
        <v>0</v>
      </c>
      <c r="Q64" s="104">
        <v>0</v>
      </c>
      <c r="R64" s="156">
        <f t="shared" si="9"/>
        <v>756.20460495683938</v>
      </c>
    </row>
    <row r="65" spans="1:18" x14ac:dyDescent="0.2">
      <c r="A65" s="86">
        <v>10</v>
      </c>
      <c r="B65" s="150">
        <f t="shared" si="4"/>
        <v>45931</v>
      </c>
      <c r="C65" s="166">
        <f t="shared" si="18"/>
        <v>45966</v>
      </c>
      <c r="D65" s="166">
        <f t="shared" si="18"/>
        <v>45985</v>
      </c>
      <c r="E65" s="1" t="s">
        <v>14</v>
      </c>
      <c r="F65" s="86">
        <v>9</v>
      </c>
      <c r="G65" s="152">
        <v>738</v>
      </c>
      <c r="H65" s="153">
        <f t="shared" si="5"/>
        <v>9.4686125004343911</v>
      </c>
      <c r="I65" s="153">
        <f t="shared" si="20"/>
        <v>10.334473961803646</v>
      </c>
      <c r="J65" s="104">
        <f t="shared" si="2"/>
        <v>7626.8417838110909</v>
      </c>
      <c r="K65" s="154">
        <f t="shared" si="11"/>
        <v>6987.836025320581</v>
      </c>
      <c r="L65" s="155">
        <f t="shared" si="19"/>
        <v>639.00575849050983</v>
      </c>
      <c r="M65" s="104">
        <f t="shared" si="7"/>
        <v>45.753748820100839</v>
      </c>
      <c r="N65" s="156">
        <f t="shared" si="8"/>
        <v>684.75950731061062</v>
      </c>
      <c r="O65" s="104">
        <v>0</v>
      </c>
      <c r="P65" s="104">
        <v>0</v>
      </c>
      <c r="Q65" s="104">
        <v>0</v>
      </c>
      <c r="R65" s="156">
        <f t="shared" si="9"/>
        <v>684.75950731061062</v>
      </c>
    </row>
    <row r="66" spans="1:18" x14ac:dyDescent="0.2">
      <c r="A66" s="86">
        <v>11</v>
      </c>
      <c r="B66" s="150">
        <f t="shared" si="4"/>
        <v>45962</v>
      </c>
      <c r="C66" s="166">
        <f t="shared" si="18"/>
        <v>45994</v>
      </c>
      <c r="D66" s="166">
        <f t="shared" si="18"/>
        <v>46015</v>
      </c>
      <c r="E66" s="1" t="s">
        <v>14</v>
      </c>
      <c r="F66" s="86">
        <v>9</v>
      </c>
      <c r="G66" s="152">
        <v>706</v>
      </c>
      <c r="H66" s="153">
        <f t="shared" si="5"/>
        <v>9.4686125004343911</v>
      </c>
      <c r="I66" s="153">
        <f t="shared" si="20"/>
        <v>10.334473961803646</v>
      </c>
      <c r="J66" s="104">
        <f t="shared" si="2"/>
        <v>7296.1386170333735</v>
      </c>
      <c r="K66" s="154">
        <f t="shared" si="11"/>
        <v>6684.8404253066801</v>
      </c>
      <c r="L66" s="155">
        <f t="shared" si="19"/>
        <v>611.2981917266934</v>
      </c>
      <c r="M66" s="104">
        <f t="shared" si="7"/>
        <v>43.769846432237387</v>
      </c>
      <c r="N66" s="156">
        <f t="shared" si="8"/>
        <v>655.06803815893079</v>
      </c>
      <c r="O66" s="104">
        <v>0</v>
      </c>
      <c r="P66" s="104">
        <v>0</v>
      </c>
      <c r="Q66" s="104">
        <v>0</v>
      </c>
      <c r="R66" s="156">
        <f t="shared" si="9"/>
        <v>655.06803815893079</v>
      </c>
    </row>
    <row r="67" spans="1:18" s="170" customFormat="1" x14ac:dyDescent="0.2">
      <c r="A67" s="86">
        <v>12</v>
      </c>
      <c r="B67" s="168">
        <f t="shared" si="4"/>
        <v>45992</v>
      </c>
      <c r="C67" s="166">
        <f t="shared" si="18"/>
        <v>46028</v>
      </c>
      <c r="D67" s="166">
        <f t="shared" si="18"/>
        <v>46048</v>
      </c>
      <c r="E67" s="169" t="s">
        <v>14</v>
      </c>
      <c r="F67" s="127">
        <v>9</v>
      </c>
      <c r="G67" s="190">
        <v>863</v>
      </c>
      <c r="H67" s="158">
        <f t="shared" si="5"/>
        <v>9.4686125004343911</v>
      </c>
      <c r="I67" s="158">
        <f t="shared" si="20"/>
        <v>10.334473961803646</v>
      </c>
      <c r="J67" s="159">
        <f t="shared" si="2"/>
        <v>8918.6510290365459</v>
      </c>
      <c r="K67" s="160">
        <f t="shared" si="11"/>
        <v>8171.4125878748791</v>
      </c>
      <c r="L67" s="161">
        <f t="shared" si="19"/>
        <v>747.23844116166674</v>
      </c>
      <c r="M67" s="159">
        <f t="shared" si="7"/>
        <v>53.503367522692436</v>
      </c>
      <c r="N67" s="191">
        <f t="shared" si="8"/>
        <v>800.74180868435917</v>
      </c>
      <c r="O67" s="159">
        <v>0</v>
      </c>
      <c r="P67" s="159">
        <v>0</v>
      </c>
      <c r="Q67" s="159">
        <v>0</v>
      </c>
      <c r="R67" s="191">
        <f t="shared" si="9"/>
        <v>800.74180868435917</v>
      </c>
    </row>
    <row r="68" spans="1:18" x14ac:dyDescent="0.2">
      <c r="A68" s="86">
        <v>1</v>
      </c>
      <c r="B68" s="150">
        <f t="shared" si="4"/>
        <v>45658</v>
      </c>
      <c r="C68" s="163">
        <f t="shared" ref="C68:D79" si="21">+C56</f>
        <v>45693</v>
      </c>
      <c r="D68" s="163">
        <f t="shared" si="21"/>
        <v>45712</v>
      </c>
      <c r="E68" s="151" t="s">
        <v>83</v>
      </c>
      <c r="F68" s="86">
        <v>9</v>
      </c>
      <c r="G68" s="152">
        <v>47</v>
      </c>
      <c r="H68" s="153">
        <f t="shared" si="5"/>
        <v>9.4686125004343911</v>
      </c>
      <c r="I68" s="153">
        <f t="shared" si="20"/>
        <v>10.334473961803646</v>
      </c>
      <c r="J68" s="104">
        <f t="shared" si="2"/>
        <v>485.72027620477132</v>
      </c>
      <c r="K68" s="154">
        <f t="shared" si="11"/>
        <v>445.0247875204164</v>
      </c>
      <c r="L68" s="155">
        <f t="shared" si="19"/>
        <v>40.695488684354927</v>
      </c>
      <c r="M68" s="104">
        <f t="shared" si="7"/>
        <v>2.9138566321744435</v>
      </c>
      <c r="N68" s="156">
        <f t="shared" si="8"/>
        <v>43.609345316529371</v>
      </c>
      <c r="O68" s="104">
        <v>0</v>
      </c>
      <c r="P68" s="104">
        <v>0</v>
      </c>
      <c r="Q68" s="104">
        <v>0</v>
      </c>
      <c r="R68" s="156">
        <f t="shared" si="9"/>
        <v>43.609345316529371</v>
      </c>
    </row>
    <row r="69" spans="1:18" x14ac:dyDescent="0.2">
      <c r="A69" s="86">
        <v>2</v>
      </c>
      <c r="B69" s="150">
        <f t="shared" si="4"/>
        <v>45689</v>
      </c>
      <c r="C69" s="166">
        <f t="shared" si="21"/>
        <v>45721</v>
      </c>
      <c r="D69" s="166">
        <f t="shared" si="21"/>
        <v>45740</v>
      </c>
      <c r="E69" s="157" t="s">
        <v>83</v>
      </c>
      <c r="F69" s="86">
        <v>9</v>
      </c>
      <c r="G69" s="152">
        <v>57</v>
      </c>
      <c r="H69" s="153">
        <f t="shared" si="5"/>
        <v>9.4686125004343911</v>
      </c>
      <c r="I69" s="153">
        <f t="shared" si="20"/>
        <v>10.334473961803646</v>
      </c>
      <c r="J69" s="104">
        <f t="shared" si="2"/>
        <v>589.06501582280782</v>
      </c>
      <c r="K69" s="154">
        <f t="shared" si="11"/>
        <v>539.71091252476026</v>
      </c>
      <c r="L69" s="155">
        <f t="shared" si="19"/>
        <v>49.354103298047562</v>
      </c>
      <c r="M69" s="104">
        <f t="shared" si="7"/>
        <v>3.5338261283817718</v>
      </c>
      <c r="N69" s="156">
        <f t="shared" si="8"/>
        <v>52.887929426429331</v>
      </c>
      <c r="O69" s="104">
        <v>0</v>
      </c>
      <c r="P69" s="104">
        <v>0</v>
      </c>
      <c r="Q69" s="104">
        <v>0</v>
      </c>
      <c r="R69" s="156">
        <f t="shared" si="9"/>
        <v>52.887929426429331</v>
      </c>
    </row>
    <row r="70" spans="1:18" x14ac:dyDescent="0.2">
      <c r="A70" s="86">
        <v>3</v>
      </c>
      <c r="B70" s="150">
        <f t="shared" si="4"/>
        <v>45717</v>
      </c>
      <c r="C70" s="166">
        <f t="shared" si="21"/>
        <v>45750</v>
      </c>
      <c r="D70" s="166">
        <f t="shared" si="21"/>
        <v>45771</v>
      </c>
      <c r="E70" s="157" t="s">
        <v>83</v>
      </c>
      <c r="F70" s="86">
        <v>9</v>
      </c>
      <c r="G70" s="152">
        <v>34</v>
      </c>
      <c r="H70" s="153">
        <f t="shared" si="5"/>
        <v>9.4686125004343911</v>
      </c>
      <c r="I70" s="153">
        <f t="shared" si="20"/>
        <v>10.334473961803646</v>
      </c>
      <c r="J70" s="104">
        <f t="shared" si="2"/>
        <v>351.37211470132394</v>
      </c>
      <c r="K70" s="154">
        <f t="shared" si="11"/>
        <v>321.93282501476932</v>
      </c>
      <c r="L70" s="155">
        <f>+J70-K70</f>
        <v>29.439289686554616</v>
      </c>
      <c r="M70" s="104">
        <f t="shared" si="7"/>
        <v>2.1078962871049165</v>
      </c>
      <c r="N70" s="156">
        <f t="shared" si="8"/>
        <v>31.547185973659534</v>
      </c>
      <c r="O70" s="104">
        <v>0</v>
      </c>
      <c r="P70" s="104">
        <v>0</v>
      </c>
      <c r="Q70" s="104">
        <v>0</v>
      </c>
      <c r="R70" s="156">
        <f t="shared" si="9"/>
        <v>31.547185973659534</v>
      </c>
    </row>
    <row r="71" spans="1:18" x14ac:dyDescent="0.2">
      <c r="A71" s="86">
        <v>4</v>
      </c>
      <c r="B71" s="150">
        <f t="shared" si="4"/>
        <v>45748</v>
      </c>
      <c r="C71" s="166">
        <f t="shared" si="21"/>
        <v>45782</v>
      </c>
      <c r="D71" s="166">
        <f t="shared" si="21"/>
        <v>45803</v>
      </c>
      <c r="E71" s="157" t="s">
        <v>83</v>
      </c>
      <c r="F71" s="86">
        <v>9</v>
      </c>
      <c r="G71" s="152">
        <v>27</v>
      </c>
      <c r="H71" s="153">
        <f t="shared" si="5"/>
        <v>9.4686125004343911</v>
      </c>
      <c r="I71" s="153">
        <f t="shared" si="20"/>
        <v>10.334473961803646</v>
      </c>
      <c r="J71" s="104">
        <f t="shared" si="2"/>
        <v>279.03079696869844</v>
      </c>
      <c r="K71" s="154">
        <f t="shared" si="11"/>
        <v>255.65253751172855</v>
      </c>
      <c r="L71" s="155">
        <f t="shared" ref="L71:L79" si="22">+J71-K71</f>
        <v>23.378259456969886</v>
      </c>
      <c r="M71" s="104">
        <f t="shared" si="7"/>
        <v>1.6739176397597868</v>
      </c>
      <c r="N71" s="156">
        <f t="shared" si="8"/>
        <v>25.052177096729672</v>
      </c>
      <c r="O71" s="104">
        <v>0</v>
      </c>
      <c r="P71" s="104">
        <v>0</v>
      </c>
      <c r="Q71" s="104">
        <v>0</v>
      </c>
      <c r="R71" s="156">
        <f t="shared" si="9"/>
        <v>25.052177096729672</v>
      </c>
    </row>
    <row r="72" spans="1:18" x14ac:dyDescent="0.2">
      <c r="A72" s="86">
        <v>5</v>
      </c>
      <c r="B72" s="150">
        <f t="shared" si="4"/>
        <v>45778</v>
      </c>
      <c r="C72" s="166">
        <f t="shared" si="21"/>
        <v>45812</v>
      </c>
      <c r="D72" s="166">
        <f t="shared" si="21"/>
        <v>45832</v>
      </c>
      <c r="E72" s="157" t="s">
        <v>83</v>
      </c>
      <c r="F72" s="86">
        <v>9</v>
      </c>
      <c r="G72" s="152">
        <v>40</v>
      </c>
      <c r="H72" s="153">
        <f t="shared" si="5"/>
        <v>9.4686125004343911</v>
      </c>
      <c r="I72" s="153">
        <f t="shared" si="20"/>
        <v>10.334473961803646</v>
      </c>
      <c r="J72" s="104">
        <f t="shared" si="2"/>
        <v>413.37895847214583</v>
      </c>
      <c r="K72" s="154">
        <f t="shared" si="11"/>
        <v>378.74450001737563</v>
      </c>
      <c r="L72" s="155">
        <f t="shared" si="22"/>
        <v>34.634458454770197</v>
      </c>
      <c r="M72" s="104">
        <f t="shared" si="7"/>
        <v>2.4798779848293133</v>
      </c>
      <c r="N72" s="156">
        <f t="shared" si="8"/>
        <v>37.114336439599512</v>
      </c>
      <c r="O72" s="104">
        <v>0</v>
      </c>
      <c r="P72" s="104">
        <v>0</v>
      </c>
      <c r="Q72" s="104">
        <v>0</v>
      </c>
      <c r="R72" s="156">
        <f t="shared" si="9"/>
        <v>37.114336439599512</v>
      </c>
    </row>
    <row r="73" spans="1:18" x14ac:dyDescent="0.2">
      <c r="A73" s="86">
        <v>6</v>
      </c>
      <c r="B73" s="150">
        <f t="shared" si="4"/>
        <v>45809</v>
      </c>
      <c r="C73" s="166">
        <f t="shared" si="21"/>
        <v>45841</v>
      </c>
      <c r="D73" s="166">
        <f t="shared" si="21"/>
        <v>45862</v>
      </c>
      <c r="E73" s="157" t="s">
        <v>83</v>
      </c>
      <c r="F73" s="86">
        <v>9</v>
      </c>
      <c r="G73" s="152">
        <v>46</v>
      </c>
      <c r="H73" s="153">
        <f t="shared" si="5"/>
        <v>9.4686125004343911</v>
      </c>
      <c r="I73" s="153">
        <f t="shared" si="20"/>
        <v>10.334473961803646</v>
      </c>
      <c r="J73" s="104">
        <f t="shared" si="2"/>
        <v>475.38580224296771</v>
      </c>
      <c r="K73" s="154">
        <f t="shared" si="11"/>
        <v>435.55617501998199</v>
      </c>
      <c r="L73" s="155">
        <f t="shared" si="22"/>
        <v>39.829627222985721</v>
      </c>
      <c r="M73" s="104">
        <f t="shared" si="7"/>
        <v>2.851859682553711</v>
      </c>
      <c r="N73" s="156">
        <f t="shared" si="8"/>
        <v>42.68148690553943</v>
      </c>
      <c r="O73" s="104">
        <v>0</v>
      </c>
      <c r="P73" s="104">
        <v>0</v>
      </c>
      <c r="Q73" s="104">
        <v>0</v>
      </c>
      <c r="R73" s="156">
        <f t="shared" si="9"/>
        <v>42.68148690553943</v>
      </c>
    </row>
    <row r="74" spans="1:18" x14ac:dyDescent="0.2">
      <c r="A74" s="86">
        <v>7</v>
      </c>
      <c r="B74" s="150">
        <f t="shared" si="4"/>
        <v>45839</v>
      </c>
      <c r="C74" s="166">
        <f t="shared" si="21"/>
        <v>45874</v>
      </c>
      <c r="D74" s="166">
        <f t="shared" si="21"/>
        <v>45894</v>
      </c>
      <c r="E74" s="157" t="s">
        <v>83</v>
      </c>
      <c r="F74" s="86">
        <v>9</v>
      </c>
      <c r="G74" s="152">
        <v>55</v>
      </c>
      <c r="H74" s="153">
        <f t="shared" si="5"/>
        <v>9.4686125004343911</v>
      </c>
      <c r="I74" s="153">
        <f t="shared" si="20"/>
        <v>10.334473961803646</v>
      </c>
      <c r="J74" s="104">
        <f t="shared" si="2"/>
        <v>568.39606789920049</v>
      </c>
      <c r="K74" s="154">
        <f t="shared" si="11"/>
        <v>520.77368752389145</v>
      </c>
      <c r="L74" s="155">
        <f t="shared" si="22"/>
        <v>47.622380375309035</v>
      </c>
      <c r="M74" s="104">
        <f t="shared" si="7"/>
        <v>3.4098322291403065</v>
      </c>
      <c r="N74" s="156">
        <f t="shared" si="8"/>
        <v>51.032212604449342</v>
      </c>
      <c r="O74" s="104">
        <v>0</v>
      </c>
      <c r="P74" s="104">
        <v>0</v>
      </c>
      <c r="Q74" s="104">
        <v>0</v>
      </c>
      <c r="R74" s="156">
        <f t="shared" si="9"/>
        <v>51.032212604449342</v>
      </c>
    </row>
    <row r="75" spans="1:18" x14ac:dyDescent="0.2">
      <c r="A75" s="86">
        <v>8</v>
      </c>
      <c r="B75" s="150">
        <f t="shared" si="4"/>
        <v>45870</v>
      </c>
      <c r="C75" s="166">
        <f t="shared" si="21"/>
        <v>45904</v>
      </c>
      <c r="D75" s="166">
        <f t="shared" si="21"/>
        <v>45924</v>
      </c>
      <c r="E75" s="157" t="s">
        <v>83</v>
      </c>
      <c r="F75" s="86">
        <v>9</v>
      </c>
      <c r="G75" s="152">
        <v>55</v>
      </c>
      <c r="H75" s="153">
        <f t="shared" si="5"/>
        <v>9.4686125004343911</v>
      </c>
      <c r="I75" s="153">
        <f t="shared" si="20"/>
        <v>10.334473961803646</v>
      </c>
      <c r="J75" s="104">
        <f t="shared" si="2"/>
        <v>568.39606789920049</v>
      </c>
      <c r="K75" s="154">
        <f t="shared" si="11"/>
        <v>520.77368752389145</v>
      </c>
      <c r="L75" s="155">
        <f t="shared" si="22"/>
        <v>47.622380375309035</v>
      </c>
      <c r="M75" s="104">
        <f t="shared" si="7"/>
        <v>3.4098322291403065</v>
      </c>
      <c r="N75" s="156">
        <f t="shared" si="8"/>
        <v>51.032212604449342</v>
      </c>
      <c r="O75" s="104">
        <v>0</v>
      </c>
      <c r="P75" s="104">
        <v>0</v>
      </c>
      <c r="Q75" s="104">
        <v>0</v>
      </c>
      <c r="R75" s="156">
        <f t="shared" si="9"/>
        <v>51.032212604449342</v>
      </c>
    </row>
    <row r="76" spans="1:18" x14ac:dyDescent="0.2">
      <c r="A76" s="86">
        <v>9</v>
      </c>
      <c r="B76" s="150">
        <f t="shared" si="4"/>
        <v>45901</v>
      </c>
      <c r="C76" s="166">
        <f t="shared" si="21"/>
        <v>45933</v>
      </c>
      <c r="D76" s="166">
        <f t="shared" si="21"/>
        <v>45954</v>
      </c>
      <c r="E76" s="157" t="s">
        <v>83</v>
      </c>
      <c r="F76" s="86">
        <v>9</v>
      </c>
      <c r="G76" s="152">
        <v>44</v>
      </c>
      <c r="H76" s="153">
        <f t="shared" si="5"/>
        <v>9.4686125004343911</v>
      </c>
      <c r="I76" s="153">
        <f t="shared" si="20"/>
        <v>10.334473961803646</v>
      </c>
      <c r="J76" s="104">
        <f t="shared" si="2"/>
        <v>454.71685431936044</v>
      </c>
      <c r="K76" s="154">
        <f t="shared" si="11"/>
        <v>416.61895001911319</v>
      </c>
      <c r="L76" s="155">
        <f t="shared" si="22"/>
        <v>38.097904300247251</v>
      </c>
      <c r="M76" s="104">
        <f t="shared" si="7"/>
        <v>2.7278657833122453</v>
      </c>
      <c r="N76" s="156">
        <f t="shared" si="8"/>
        <v>40.825770083559497</v>
      </c>
      <c r="O76" s="104">
        <v>0</v>
      </c>
      <c r="P76" s="104">
        <v>0</v>
      </c>
      <c r="Q76" s="104">
        <v>0</v>
      </c>
      <c r="R76" s="156">
        <f t="shared" si="9"/>
        <v>40.825770083559497</v>
      </c>
    </row>
    <row r="77" spans="1:18" x14ac:dyDescent="0.2">
      <c r="A77" s="86">
        <v>10</v>
      </c>
      <c r="B77" s="150">
        <f t="shared" si="4"/>
        <v>45931</v>
      </c>
      <c r="C77" s="166">
        <f t="shared" si="21"/>
        <v>45966</v>
      </c>
      <c r="D77" s="166">
        <f t="shared" si="21"/>
        <v>45985</v>
      </c>
      <c r="E77" s="157" t="s">
        <v>83</v>
      </c>
      <c r="F77" s="86">
        <v>9</v>
      </c>
      <c r="G77" s="152">
        <v>34</v>
      </c>
      <c r="H77" s="153">
        <f t="shared" si="5"/>
        <v>9.4686125004343911</v>
      </c>
      <c r="I77" s="153">
        <f t="shared" si="20"/>
        <v>10.334473961803646</v>
      </c>
      <c r="J77" s="104">
        <f t="shared" si="2"/>
        <v>351.37211470132394</v>
      </c>
      <c r="K77" s="154">
        <f t="shared" si="11"/>
        <v>321.93282501476932</v>
      </c>
      <c r="L77" s="155">
        <f t="shared" si="22"/>
        <v>29.439289686554616</v>
      </c>
      <c r="M77" s="104">
        <f t="shared" si="7"/>
        <v>2.1078962871049165</v>
      </c>
      <c r="N77" s="156">
        <f t="shared" si="8"/>
        <v>31.547185973659534</v>
      </c>
      <c r="O77" s="104">
        <v>0</v>
      </c>
      <c r="P77" s="104">
        <v>0</v>
      </c>
      <c r="Q77" s="104">
        <v>0</v>
      </c>
      <c r="R77" s="156">
        <f t="shared" si="9"/>
        <v>31.547185973659534</v>
      </c>
    </row>
    <row r="78" spans="1:18" x14ac:dyDescent="0.2">
      <c r="A78" s="86">
        <v>11</v>
      </c>
      <c r="B78" s="150">
        <f t="shared" si="4"/>
        <v>45962</v>
      </c>
      <c r="C78" s="166">
        <f t="shared" si="21"/>
        <v>45994</v>
      </c>
      <c r="D78" s="166">
        <f t="shared" si="21"/>
        <v>46015</v>
      </c>
      <c r="E78" s="157" t="s">
        <v>83</v>
      </c>
      <c r="F78" s="86">
        <v>9</v>
      </c>
      <c r="G78" s="152">
        <v>35</v>
      </c>
      <c r="H78" s="153">
        <f t="shared" si="5"/>
        <v>9.4686125004343911</v>
      </c>
      <c r="I78" s="153">
        <f t="shared" si="20"/>
        <v>10.334473961803646</v>
      </c>
      <c r="J78" s="104">
        <f t="shared" si="2"/>
        <v>361.7065886631276</v>
      </c>
      <c r="K78" s="154">
        <f>+$G78*H78</f>
        <v>331.40143751520367</v>
      </c>
      <c r="L78" s="155">
        <f t="shared" si="22"/>
        <v>30.305151147923937</v>
      </c>
      <c r="M78" s="104">
        <f t="shared" si="7"/>
        <v>2.1698932367256494</v>
      </c>
      <c r="N78" s="156">
        <f t="shared" si="8"/>
        <v>32.475044384649586</v>
      </c>
      <c r="O78" s="104">
        <v>0</v>
      </c>
      <c r="P78" s="104">
        <v>0</v>
      </c>
      <c r="Q78" s="104">
        <v>0</v>
      </c>
      <c r="R78" s="156">
        <f t="shared" si="9"/>
        <v>32.475044384649586</v>
      </c>
    </row>
    <row r="79" spans="1:18" s="170" customFormat="1" x14ac:dyDescent="0.2">
      <c r="A79" s="86">
        <v>12</v>
      </c>
      <c r="B79" s="168">
        <f t="shared" si="4"/>
        <v>45992</v>
      </c>
      <c r="C79" s="171">
        <f t="shared" si="21"/>
        <v>46028</v>
      </c>
      <c r="D79" s="171">
        <f t="shared" si="21"/>
        <v>46048</v>
      </c>
      <c r="E79" s="172" t="s">
        <v>83</v>
      </c>
      <c r="F79" s="127">
        <v>9</v>
      </c>
      <c r="G79" s="190">
        <v>39</v>
      </c>
      <c r="H79" s="158">
        <f t="shared" si="5"/>
        <v>9.4686125004343911</v>
      </c>
      <c r="I79" s="158">
        <f t="shared" si="20"/>
        <v>10.334473961803646</v>
      </c>
      <c r="J79" s="159">
        <f t="shared" si="2"/>
        <v>403.04448451034216</v>
      </c>
      <c r="K79" s="160">
        <f>+$G79*H79</f>
        <v>369.27588751694122</v>
      </c>
      <c r="L79" s="161">
        <f t="shared" si="22"/>
        <v>33.768596993400934</v>
      </c>
      <c r="M79" s="159">
        <f t="shared" si="7"/>
        <v>2.4178810352085809</v>
      </c>
      <c r="N79" s="191">
        <f t="shared" si="8"/>
        <v>36.186478028609514</v>
      </c>
      <c r="O79" s="159">
        <v>0</v>
      </c>
      <c r="P79" s="159">
        <v>0</v>
      </c>
      <c r="Q79" s="159">
        <v>0</v>
      </c>
      <c r="R79" s="191">
        <f t="shared" si="9"/>
        <v>36.186478028609514</v>
      </c>
    </row>
    <row r="80" spans="1:18" ht="12.75" customHeight="1" x14ac:dyDescent="0.2">
      <c r="A80" s="86">
        <v>1</v>
      </c>
      <c r="B80" s="150">
        <f t="shared" si="4"/>
        <v>45658</v>
      </c>
      <c r="C80" s="163">
        <f t="shared" ref="C80:D91" si="23">+C56</f>
        <v>45693</v>
      </c>
      <c r="D80" s="163">
        <f t="shared" si="23"/>
        <v>45712</v>
      </c>
      <c r="E80" s="151" t="s">
        <v>9</v>
      </c>
      <c r="F80" s="86">
        <v>9</v>
      </c>
      <c r="G80" s="152">
        <v>67</v>
      </c>
      <c r="H80" s="153">
        <f t="shared" si="5"/>
        <v>9.4686125004343911</v>
      </c>
      <c r="I80" s="153">
        <f t="shared" si="20"/>
        <v>10.334473961803646</v>
      </c>
      <c r="J80" s="104">
        <f t="shared" si="2"/>
        <v>692.40975544084426</v>
      </c>
      <c r="K80" s="154">
        <f t="shared" si="11"/>
        <v>634.39703752910418</v>
      </c>
      <c r="L80" s="155">
        <f t="shared" si="19"/>
        <v>58.012717911740083</v>
      </c>
      <c r="M80" s="104">
        <f t="shared" si="7"/>
        <v>4.153795624589101</v>
      </c>
      <c r="N80" s="156">
        <f t="shared" si="8"/>
        <v>62.166513536329184</v>
      </c>
      <c r="O80" s="104">
        <v>0</v>
      </c>
      <c r="P80" s="104">
        <v>0</v>
      </c>
      <c r="Q80" s="104">
        <v>0</v>
      </c>
      <c r="R80" s="156">
        <f t="shared" si="9"/>
        <v>62.166513536329184</v>
      </c>
    </row>
    <row r="81" spans="1:18" x14ac:dyDescent="0.2">
      <c r="A81" s="86">
        <v>2</v>
      </c>
      <c r="B81" s="150">
        <f t="shared" si="4"/>
        <v>45689</v>
      </c>
      <c r="C81" s="166">
        <f t="shared" si="23"/>
        <v>45721</v>
      </c>
      <c r="D81" s="166">
        <f t="shared" si="23"/>
        <v>45740</v>
      </c>
      <c r="E81" s="157" t="s">
        <v>9</v>
      </c>
      <c r="F81" s="86">
        <v>9</v>
      </c>
      <c r="G81" s="152">
        <v>71</v>
      </c>
      <c r="H81" s="153">
        <f t="shared" si="5"/>
        <v>9.4686125004343911</v>
      </c>
      <c r="I81" s="153">
        <f t="shared" si="20"/>
        <v>10.334473961803646</v>
      </c>
      <c r="J81" s="104">
        <f t="shared" si="2"/>
        <v>733.74765128805882</v>
      </c>
      <c r="K81" s="154">
        <f t="shared" si="11"/>
        <v>672.2714875308418</v>
      </c>
      <c r="L81" s="155">
        <f t="shared" si="19"/>
        <v>61.476163757217023</v>
      </c>
      <c r="M81" s="104">
        <f t="shared" si="7"/>
        <v>4.4017834230720316</v>
      </c>
      <c r="N81" s="156">
        <f t="shared" si="8"/>
        <v>65.877947180289055</v>
      </c>
      <c r="O81" s="104">
        <v>0</v>
      </c>
      <c r="P81" s="104">
        <v>0</v>
      </c>
      <c r="Q81" s="104">
        <v>0</v>
      </c>
      <c r="R81" s="156">
        <f t="shared" si="9"/>
        <v>65.877947180289055</v>
      </c>
    </row>
    <row r="82" spans="1:18" x14ac:dyDescent="0.2">
      <c r="A82" s="86">
        <v>3</v>
      </c>
      <c r="B82" s="150">
        <f t="shared" si="4"/>
        <v>45717</v>
      </c>
      <c r="C82" s="166">
        <f t="shared" si="23"/>
        <v>45750</v>
      </c>
      <c r="D82" s="166">
        <f t="shared" si="23"/>
        <v>45771</v>
      </c>
      <c r="E82" s="157" t="s">
        <v>9</v>
      </c>
      <c r="F82" s="86">
        <v>9</v>
      </c>
      <c r="G82" s="152">
        <v>49</v>
      </c>
      <c r="H82" s="153">
        <f t="shared" si="5"/>
        <v>9.4686125004343911</v>
      </c>
      <c r="I82" s="153">
        <f t="shared" si="20"/>
        <v>10.334473961803646</v>
      </c>
      <c r="J82" s="104">
        <f t="shared" si="2"/>
        <v>506.38922412837866</v>
      </c>
      <c r="K82" s="154">
        <f t="shared" si="11"/>
        <v>463.96201252128515</v>
      </c>
      <c r="L82" s="155">
        <f>+J82-K82</f>
        <v>42.427211607093511</v>
      </c>
      <c r="M82" s="104">
        <f t="shared" si="7"/>
        <v>3.0378505314159092</v>
      </c>
      <c r="N82" s="156">
        <f t="shared" si="8"/>
        <v>45.465062138509424</v>
      </c>
      <c r="O82" s="104">
        <v>0</v>
      </c>
      <c r="P82" s="104">
        <v>0</v>
      </c>
      <c r="Q82" s="104">
        <v>0</v>
      </c>
      <c r="R82" s="156">
        <f t="shared" si="9"/>
        <v>45.465062138509424</v>
      </c>
    </row>
    <row r="83" spans="1:18" ht="12" customHeight="1" x14ac:dyDescent="0.2">
      <c r="A83" s="86">
        <v>4</v>
      </c>
      <c r="B83" s="150">
        <f t="shared" si="4"/>
        <v>45748</v>
      </c>
      <c r="C83" s="166">
        <f t="shared" si="23"/>
        <v>45782</v>
      </c>
      <c r="D83" s="166">
        <f t="shared" si="23"/>
        <v>45803</v>
      </c>
      <c r="E83" s="1" t="s">
        <v>9</v>
      </c>
      <c r="F83" s="86">
        <v>9</v>
      </c>
      <c r="G83" s="152">
        <v>37</v>
      </c>
      <c r="H83" s="153">
        <f t="shared" si="5"/>
        <v>9.4686125004343911</v>
      </c>
      <c r="I83" s="153">
        <f t="shared" si="20"/>
        <v>10.334473961803646</v>
      </c>
      <c r="J83" s="104">
        <f t="shared" si="2"/>
        <v>382.37553658673488</v>
      </c>
      <c r="K83" s="154">
        <f t="shared" si="11"/>
        <v>350.33866251607247</v>
      </c>
      <c r="L83" s="155">
        <f t="shared" ref="L83:L93" si="24">+J83-K83</f>
        <v>32.036874070662407</v>
      </c>
      <c r="M83" s="104">
        <f t="shared" si="7"/>
        <v>2.2938871359671151</v>
      </c>
      <c r="N83" s="156">
        <f t="shared" si="8"/>
        <v>34.330761206629525</v>
      </c>
      <c r="O83" s="104">
        <v>0</v>
      </c>
      <c r="P83" s="104">
        <v>0</v>
      </c>
      <c r="Q83" s="104">
        <v>0</v>
      </c>
      <c r="R83" s="156">
        <f t="shared" si="9"/>
        <v>34.330761206629525</v>
      </c>
    </row>
    <row r="84" spans="1:18" ht="12" customHeight="1" x14ac:dyDescent="0.2">
      <c r="A84" s="86">
        <v>5</v>
      </c>
      <c r="B84" s="150">
        <f t="shared" si="4"/>
        <v>45778</v>
      </c>
      <c r="C84" s="166">
        <f t="shared" si="23"/>
        <v>45812</v>
      </c>
      <c r="D84" s="166">
        <f t="shared" si="23"/>
        <v>45832</v>
      </c>
      <c r="E84" s="1" t="s">
        <v>9</v>
      </c>
      <c r="F84" s="86">
        <v>9</v>
      </c>
      <c r="G84" s="152">
        <v>50</v>
      </c>
      <c r="H84" s="153">
        <f t="shared" si="5"/>
        <v>9.4686125004343911</v>
      </c>
      <c r="I84" s="153">
        <f t="shared" si="20"/>
        <v>10.334473961803646</v>
      </c>
      <c r="J84" s="104">
        <f t="shared" si="2"/>
        <v>516.72369809018232</v>
      </c>
      <c r="K84" s="154">
        <f t="shared" si="11"/>
        <v>473.43062502171955</v>
      </c>
      <c r="L84" s="155">
        <f t="shared" si="24"/>
        <v>43.293073068462775</v>
      </c>
      <c r="M84" s="104">
        <f t="shared" si="7"/>
        <v>3.0998474810366421</v>
      </c>
      <c r="N84" s="156">
        <f t="shared" si="8"/>
        <v>46.392920549499415</v>
      </c>
      <c r="O84" s="104">
        <v>0</v>
      </c>
      <c r="P84" s="104">
        <v>0</v>
      </c>
      <c r="Q84" s="104">
        <v>0</v>
      </c>
      <c r="R84" s="156">
        <f t="shared" si="9"/>
        <v>46.392920549499415</v>
      </c>
    </row>
    <row r="85" spans="1:18" x14ac:dyDescent="0.2">
      <c r="A85" s="86">
        <v>6</v>
      </c>
      <c r="B85" s="150">
        <f t="shared" si="4"/>
        <v>45809</v>
      </c>
      <c r="C85" s="166">
        <f t="shared" si="23"/>
        <v>45841</v>
      </c>
      <c r="D85" s="166">
        <f t="shared" si="23"/>
        <v>45862</v>
      </c>
      <c r="E85" s="1" t="s">
        <v>9</v>
      </c>
      <c r="F85" s="86">
        <v>9</v>
      </c>
      <c r="G85" s="152">
        <v>54</v>
      </c>
      <c r="H85" s="153">
        <f t="shared" ref="H85:H148" si="25">+$K$3</f>
        <v>9.4686125004343911</v>
      </c>
      <c r="I85" s="153">
        <f t="shared" si="20"/>
        <v>10.334473961803646</v>
      </c>
      <c r="J85" s="104">
        <f t="shared" si="2"/>
        <v>558.06159393739688</v>
      </c>
      <c r="K85" s="154">
        <f t="shared" si="11"/>
        <v>511.30507502345711</v>
      </c>
      <c r="L85" s="155">
        <f t="shared" si="24"/>
        <v>46.756518913939772</v>
      </c>
      <c r="M85" s="104">
        <f t="shared" ref="M85:M148" si="26">G85/$G$212*$M$14</f>
        <v>3.3478352795195736</v>
      </c>
      <c r="N85" s="156">
        <f t="shared" ref="N85:N148" si="27">SUM(L85:M85)</f>
        <v>50.104354193459343</v>
      </c>
      <c r="O85" s="104">
        <v>0</v>
      </c>
      <c r="P85" s="104">
        <v>0</v>
      </c>
      <c r="Q85" s="104">
        <v>0</v>
      </c>
      <c r="R85" s="156">
        <f t="shared" ref="R85:R148" si="28">+N85-Q85</f>
        <v>50.104354193459343</v>
      </c>
    </row>
    <row r="86" spans="1:18" x14ac:dyDescent="0.2">
      <c r="A86" s="86">
        <v>7</v>
      </c>
      <c r="B86" s="150">
        <f t="shared" si="4"/>
        <v>45839</v>
      </c>
      <c r="C86" s="166">
        <f t="shared" si="23"/>
        <v>45874</v>
      </c>
      <c r="D86" s="166">
        <f t="shared" si="23"/>
        <v>45894</v>
      </c>
      <c r="E86" s="1" t="s">
        <v>9</v>
      </c>
      <c r="F86" s="86">
        <v>9</v>
      </c>
      <c r="G86" s="152">
        <v>62</v>
      </c>
      <c r="H86" s="153">
        <f t="shared" si="25"/>
        <v>9.4686125004343911</v>
      </c>
      <c r="I86" s="153">
        <f t="shared" si="20"/>
        <v>10.334473961803646</v>
      </c>
      <c r="J86" s="104">
        <f t="shared" si="2"/>
        <v>640.73738563182599</v>
      </c>
      <c r="K86" s="154">
        <f t="shared" si="11"/>
        <v>587.05397502693222</v>
      </c>
      <c r="L86" s="155">
        <f t="shared" si="24"/>
        <v>53.683410604893766</v>
      </c>
      <c r="M86" s="104">
        <f t="shared" si="26"/>
        <v>3.8438108764854362</v>
      </c>
      <c r="N86" s="156">
        <f t="shared" si="27"/>
        <v>57.5272214813792</v>
      </c>
      <c r="O86" s="104">
        <v>0</v>
      </c>
      <c r="P86" s="104">
        <v>0</v>
      </c>
      <c r="Q86" s="104">
        <v>0</v>
      </c>
      <c r="R86" s="156">
        <f t="shared" si="28"/>
        <v>57.5272214813792</v>
      </c>
    </row>
    <row r="87" spans="1:18" x14ac:dyDescent="0.2">
      <c r="A87" s="86">
        <v>8</v>
      </c>
      <c r="B87" s="150">
        <f t="shared" si="4"/>
        <v>45870</v>
      </c>
      <c r="C87" s="166">
        <f t="shared" si="23"/>
        <v>45904</v>
      </c>
      <c r="D87" s="166">
        <f t="shared" si="23"/>
        <v>45924</v>
      </c>
      <c r="E87" s="1" t="s">
        <v>9</v>
      </c>
      <c r="F87" s="86">
        <v>9</v>
      </c>
      <c r="G87" s="152">
        <v>55</v>
      </c>
      <c r="H87" s="153">
        <f t="shared" si="25"/>
        <v>9.4686125004343911</v>
      </c>
      <c r="I87" s="153">
        <f t="shared" si="20"/>
        <v>10.334473961803646</v>
      </c>
      <c r="J87" s="104">
        <f t="shared" si="2"/>
        <v>568.39606789920049</v>
      </c>
      <c r="K87" s="154">
        <f t="shared" si="11"/>
        <v>520.77368752389145</v>
      </c>
      <c r="L87" s="155">
        <f t="shared" si="24"/>
        <v>47.622380375309035</v>
      </c>
      <c r="M87" s="104">
        <f t="shared" si="26"/>
        <v>3.4098322291403065</v>
      </c>
      <c r="N87" s="156">
        <f t="shared" si="27"/>
        <v>51.032212604449342</v>
      </c>
      <c r="O87" s="104">
        <v>0</v>
      </c>
      <c r="P87" s="104">
        <v>0</v>
      </c>
      <c r="Q87" s="104">
        <v>0</v>
      </c>
      <c r="R87" s="156">
        <f t="shared" si="28"/>
        <v>51.032212604449342</v>
      </c>
    </row>
    <row r="88" spans="1:18" x14ac:dyDescent="0.2">
      <c r="A88" s="86">
        <v>9</v>
      </c>
      <c r="B88" s="150">
        <f t="shared" si="4"/>
        <v>45901</v>
      </c>
      <c r="C88" s="166">
        <f t="shared" si="23"/>
        <v>45933</v>
      </c>
      <c r="D88" s="166">
        <f t="shared" si="23"/>
        <v>45954</v>
      </c>
      <c r="E88" s="1" t="s">
        <v>9</v>
      </c>
      <c r="F88" s="86">
        <v>9</v>
      </c>
      <c r="G88" s="152">
        <v>50</v>
      </c>
      <c r="H88" s="153">
        <f t="shared" si="25"/>
        <v>9.4686125004343911</v>
      </c>
      <c r="I88" s="153">
        <f t="shared" si="20"/>
        <v>10.334473961803646</v>
      </c>
      <c r="J88" s="104">
        <f t="shared" si="2"/>
        <v>516.72369809018232</v>
      </c>
      <c r="K88" s="154">
        <f t="shared" si="11"/>
        <v>473.43062502171955</v>
      </c>
      <c r="L88" s="155">
        <f t="shared" si="24"/>
        <v>43.293073068462775</v>
      </c>
      <c r="M88" s="104">
        <f t="shared" si="26"/>
        <v>3.0998474810366421</v>
      </c>
      <c r="N88" s="156">
        <f t="shared" si="27"/>
        <v>46.392920549499415</v>
      </c>
      <c r="O88" s="104">
        <v>0</v>
      </c>
      <c r="P88" s="104">
        <v>0</v>
      </c>
      <c r="Q88" s="104">
        <v>0</v>
      </c>
      <c r="R88" s="156">
        <f t="shared" si="28"/>
        <v>46.392920549499415</v>
      </c>
    </row>
    <row r="89" spans="1:18" x14ac:dyDescent="0.2">
      <c r="A89" s="86">
        <v>10</v>
      </c>
      <c r="B89" s="150">
        <f t="shared" si="4"/>
        <v>45931</v>
      </c>
      <c r="C89" s="166">
        <f t="shared" si="23"/>
        <v>45966</v>
      </c>
      <c r="D89" s="166">
        <f t="shared" si="23"/>
        <v>45985</v>
      </c>
      <c r="E89" s="1" t="s">
        <v>9</v>
      </c>
      <c r="F89" s="86">
        <v>9</v>
      </c>
      <c r="G89" s="152">
        <v>47</v>
      </c>
      <c r="H89" s="153">
        <f t="shared" si="25"/>
        <v>9.4686125004343911</v>
      </c>
      <c r="I89" s="153">
        <f t="shared" si="20"/>
        <v>10.334473961803646</v>
      </c>
      <c r="J89" s="104">
        <f t="shared" si="2"/>
        <v>485.72027620477132</v>
      </c>
      <c r="K89" s="154">
        <f t="shared" si="11"/>
        <v>445.0247875204164</v>
      </c>
      <c r="L89" s="155">
        <f t="shared" si="24"/>
        <v>40.695488684354927</v>
      </c>
      <c r="M89" s="104">
        <f t="shared" si="26"/>
        <v>2.9138566321744435</v>
      </c>
      <c r="N89" s="156">
        <f t="shared" si="27"/>
        <v>43.609345316529371</v>
      </c>
      <c r="O89" s="104">
        <v>0</v>
      </c>
      <c r="P89" s="104">
        <v>0</v>
      </c>
      <c r="Q89" s="104">
        <v>0</v>
      </c>
      <c r="R89" s="156">
        <f t="shared" si="28"/>
        <v>43.609345316529371</v>
      </c>
    </row>
    <row r="90" spans="1:18" x14ac:dyDescent="0.2">
      <c r="A90" s="86">
        <v>11</v>
      </c>
      <c r="B90" s="150">
        <f t="shared" si="4"/>
        <v>45962</v>
      </c>
      <c r="C90" s="166">
        <f t="shared" si="23"/>
        <v>45994</v>
      </c>
      <c r="D90" s="166">
        <f t="shared" si="23"/>
        <v>46015</v>
      </c>
      <c r="E90" s="1" t="s">
        <v>9</v>
      </c>
      <c r="F90" s="86">
        <v>9</v>
      </c>
      <c r="G90" s="152">
        <v>48</v>
      </c>
      <c r="H90" s="153">
        <f t="shared" si="25"/>
        <v>9.4686125004343911</v>
      </c>
      <c r="I90" s="153">
        <f t="shared" si="20"/>
        <v>10.334473961803646</v>
      </c>
      <c r="J90" s="104">
        <f t="shared" si="2"/>
        <v>496.05475016657499</v>
      </c>
      <c r="K90" s="154">
        <f t="shared" si="11"/>
        <v>454.4934000208508</v>
      </c>
      <c r="L90" s="155">
        <f t="shared" si="24"/>
        <v>41.561350145724191</v>
      </c>
      <c r="M90" s="104">
        <f t="shared" si="26"/>
        <v>2.9758535817951768</v>
      </c>
      <c r="N90" s="156">
        <f t="shared" si="27"/>
        <v>44.537203727519369</v>
      </c>
      <c r="O90" s="104">
        <v>0</v>
      </c>
      <c r="P90" s="104">
        <v>0</v>
      </c>
      <c r="Q90" s="104">
        <v>0</v>
      </c>
      <c r="R90" s="156">
        <f t="shared" si="28"/>
        <v>44.537203727519369</v>
      </c>
    </row>
    <row r="91" spans="1:18" s="170" customFormat="1" x14ac:dyDescent="0.2">
      <c r="A91" s="86">
        <v>12</v>
      </c>
      <c r="B91" s="168">
        <f t="shared" si="4"/>
        <v>45992</v>
      </c>
      <c r="C91" s="166">
        <f t="shared" si="23"/>
        <v>46028</v>
      </c>
      <c r="D91" s="166">
        <f t="shared" si="23"/>
        <v>46048</v>
      </c>
      <c r="E91" s="169" t="s">
        <v>9</v>
      </c>
      <c r="F91" s="127">
        <v>9</v>
      </c>
      <c r="G91" s="190">
        <v>58</v>
      </c>
      <c r="H91" s="158">
        <f t="shared" si="25"/>
        <v>9.4686125004343911</v>
      </c>
      <c r="I91" s="158">
        <f t="shared" si="20"/>
        <v>10.334473961803646</v>
      </c>
      <c r="J91" s="159">
        <f t="shared" si="2"/>
        <v>599.39948978461143</v>
      </c>
      <c r="K91" s="160">
        <f t="shared" si="11"/>
        <v>549.17952502519472</v>
      </c>
      <c r="L91" s="161">
        <f t="shared" si="24"/>
        <v>50.219964759416712</v>
      </c>
      <c r="M91" s="159">
        <f t="shared" si="26"/>
        <v>3.5958230780025051</v>
      </c>
      <c r="N91" s="191">
        <f t="shared" si="27"/>
        <v>53.815787837419215</v>
      </c>
      <c r="O91" s="159">
        <v>0</v>
      </c>
      <c r="P91" s="159">
        <v>0</v>
      </c>
      <c r="Q91" s="159">
        <v>0</v>
      </c>
      <c r="R91" s="191">
        <f t="shared" si="28"/>
        <v>53.815787837419215</v>
      </c>
    </row>
    <row r="92" spans="1:18" x14ac:dyDescent="0.2">
      <c r="A92" s="86">
        <v>1</v>
      </c>
      <c r="B92" s="150">
        <f t="shared" si="4"/>
        <v>45658</v>
      </c>
      <c r="C92" s="163">
        <f t="shared" ref="C92:D95" si="29">+C80</f>
        <v>45693</v>
      </c>
      <c r="D92" s="163">
        <f t="shared" si="29"/>
        <v>45712</v>
      </c>
      <c r="E92" s="151" t="s">
        <v>8</v>
      </c>
      <c r="F92" s="86">
        <v>9</v>
      </c>
      <c r="G92" s="152">
        <v>89</v>
      </c>
      <c r="H92" s="153">
        <f t="shared" si="25"/>
        <v>9.4686125004343911</v>
      </c>
      <c r="I92" s="153">
        <f t="shared" si="20"/>
        <v>10.334473961803646</v>
      </c>
      <c r="J92" s="104">
        <f t="shared" si="2"/>
        <v>919.76818260052448</v>
      </c>
      <c r="K92" s="154">
        <f t="shared" si="11"/>
        <v>842.70651253866083</v>
      </c>
      <c r="L92" s="155">
        <f t="shared" si="24"/>
        <v>77.061670061863651</v>
      </c>
      <c r="M92" s="104">
        <f t="shared" si="26"/>
        <v>5.5177285162452225</v>
      </c>
      <c r="N92" s="156">
        <f t="shared" si="27"/>
        <v>82.579398578108879</v>
      </c>
      <c r="O92" s="104">
        <v>0</v>
      </c>
      <c r="P92" s="104">
        <v>0</v>
      </c>
      <c r="Q92" s="104">
        <v>0</v>
      </c>
      <c r="R92" s="156">
        <f t="shared" si="28"/>
        <v>82.579398578108879</v>
      </c>
    </row>
    <row r="93" spans="1:18" x14ac:dyDescent="0.2">
      <c r="A93" s="86">
        <v>2</v>
      </c>
      <c r="B93" s="150">
        <f t="shared" si="4"/>
        <v>45689</v>
      </c>
      <c r="C93" s="166">
        <f t="shared" si="29"/>
        <v>45721</v>
      </c>
      <c r="D93" s="166">
        <f t="shared" si="29"/>
        <v>45740</v>
      </c>
      <c r="E93" s="157" t="s">
        <v>8</v>
      </c>
      <c r="F93" s="86">
        <v>9</v>
      </c>
      <c r="G93" s="152">
        <v>102</v>
      </c>
      <c r="H93" s="153">
        <f t="shared" si="25"/>
        <v>9.4686125004343911</v>
      </c>
      <c r="I93" s="153">
        <f t="shared" si="20"/>
        <v>10.334473961803646</v>
      </c>
      <c r="J93" s="104">
        <f t="shared" si="2"/>
        <v>1054.1163441039719</v>
      </c>
      <c r="K93" s="154">
        <f t="shared" si="11"/>
        <v>965.79847504430791</v>
      </c>
      <c r="L93" s="155">
        <f t="shared" si="24"/>
        <v>88.317869059663963</v>
      </c>
      <c r="M93" s="104">
        <f t="shared" si="26"/>
        <v>6.3236888613147499</v>
      </c>
      <c r="N93" s="156">
        <f t="shared" si="27"/>
        <v>94.641557920978713</v>
      </c>
      <c r="O93" s="104">
        <v>0</v>
      </c>
      <c r="P93" s="104">
        <v>0</v>
      </c>
      <c r="Q93" s="104">
        <v>0</v>
      </c>
      <c r="R93" s="156">
        <f t="shared" si="28"/>
        <v>94.641557920978713</v>
      </c>
    </row>
    <row r="94" spans="1:18" x14ac:dyDescent="0.2">
      <c r="A94" s="86">
        <v>3</v>
      </c>
      <c r="B94" s="150">
        <f t="shared" si="4"/>
        <v>45717</v>
      </c>
      <c r="C94" s="166">
        <f t="shared" si="29"/>
        <v>45750</v>
      </c>
      <c r="D94" s="166">
        <f t="shared" si="29"/>
        <v>45771</v>
      </c>
      <c r="E94" s="157" t="s">
        <v>8</v>
      </c>
      <c r="F94" s="86">
        <v>9</v>
      </c>
      <c r="G94" s="152">
        <v>64</v>
      </c>
      <c r="H94" s="153">
        <f t="shared" si="25"/>
        <v>9.4686125004343911</v>
      </c>
      <c r="I94" s="153">
        <f t="shared" si="20"/>
        <v>10.334473961803646</v>
      </c>
      <c r="J94" s="104">
        <f t="shared" si="2"/>
        <v>661.40633355543332</v>
      </c>
      <c r="K94" s="154">
        <f t="shared" ref="K94:K133" si="30">+$G94*H94</f>
        <v>605.99120002780103</v>
      </c>
      <c r="L94" s="155">
        <f>+J94-K94</f>
        <v>55.415133527632292</v>
      </c>
      <c r="M94" s="104">
        <f t="shared" si="26"/>
        <v>3.9678047757269015</v>
      </c>
      <c r="N94" s="156">
        <f t="shared" si="27"/>
        <v>59.382938303359197</v>
      </c>
      <c r="O94" s="104">
        <v>0</v>
      </c>
      <c r="P94" s="104">
        <v>0</v>
      </c>
      <c r="Q94" s="104">
        <v>0</v>
      </c>
      <c r="R94" s="156">
        <f t="shared" si="28"/>
        <v>59.382938303359197</v>
      </c>
    </row>
    <row r="95" spans="1:18" x14ac:dyDescent="0.2">
      <c r="A95" s="86">
        <v>4</v>
      </c>
      <c r="B95" s="150">
        <f t="shared" si="4"/>
        <v>45748</v>
      </c>
      <c r="C95" s="166">
        <f t="shared" si="29"/>
        <v>45782</v>
      </c>
      <c r="D95" s="166">
        <f t="shared" si="29"/>
        <v>45803</v>
      </c>
      <c r="E95" s="157" t="s">
        <v>8</v>
      </c>
      <c r="F95" s="86">
        <v>9</v>
      </c>
      <c r="G95" s="152">
        <v>71</v>
      </c>
      <c r="H95" s="153">
        <f t="shared" si="25"/>
        <v>9.4686125004343911</v>
      </c>
      <c r="I95" s="153">
        <f t="shared" si="20"/>
        <v>10.334473961803646</v>
      </c>
      <c r="J95" s="104">
        <f t="shared" si="2"/>
        <v>733.74765128805882</v>
      </c>
      <c r="K95" s="154">
        <f t="shared" si="30"/>
        <v>672.2714875308418</v>
      </c>
      <c r="L95" s="155">
        <f t="shared" ref="L95:L105" si="31">+J95-K95</f>
        <v>61.476163757217023</v>
      </c>
      <c r="M95" s="104">
        <f t="shared" si="26"/>
        <v>4.4017834230720316</v>
      </c>
      <c r="N95" s="156">
        <f t="shared" si="27"/>
        <v>65.877947180289055</v>
      </c>
      <c r="O95" s="104">
        <v>0</v>
      </c>
      <c r="P95" s="104">
        <v>0</v>
      </c>
      <c r="Q95" s="104">
        <v>0</v>
      </c>
      <c r="R95" s="156">
        <f t="shared" si="28"/>
        <v>65.877947180289055</v>
      </c>
    </row>
    <row r="96" spans="1:18" x14ac:dyDescent="0.2">
      <c r="A96" s="86">
        <v>5</v>
      </c>
      <c r="B96" s="150">
        <f t="shared" si="4"/>
        <v>45778</v>
      </c>
      <c r="C96" s="166">
        <f t="shared" ref="C96:D116" si="32">+C84</f>
        <v>45812</v>
      </c>
      <c r="D96" s="166">
        <f t="shared" si="32"/>
        <v>45832</v>
      </c>
      <c r="E96" s="1" t="s">
        <v>8</v>
      </c>
      <c r="F96" s="86">
        <v>9</v>
      </c>
      <c r="G96" s="152">
        <v>108</v>
      </c>
      <c r="H96" s="153">
        <f t="shared" si="25"/>
        <v>9.4686125004343911</v>
      </c>
      <c r="I96" s="153">
        <f t="shared" si="20"/>
        <v>10.334473961803646</v>
      </c>
      <c r="J96" s="104">
        <f t="shared" si="2"/>
        <v>1116.1231878747938</v>
      </c>
      <c r="K96" s="154">
        <f t="shared" si="30"/>
        <v>1022.6101500469142</v>
      </c>
      <c r="L96" s="155">
        <f t="shared" si="31"/>
        <v>93.513037827879543</v>
      </c>
      <c r="M96" s="104">
        <f t="shared" si="26"/>
        <v>6.6956705590391472</v>
      </c>
      <c r="N96" s="156">
        <f t="shared" si="27"/>
        <v>100.20870838691869</v>
      </c>
      <c r="O96" s="104">
        <v>0</v>
      </c>
      <c r="P96" s="104">
        <v>0</v>
      </c>
      <c r="Q96" s="104">
        <v>0</v>
      </c>
      <c r="R96" s="156">
        <f t="shared" si="28"/>
        <v>100.20870838691869</v>
      </c>
    </row>
    <row r="97" spans="1:18" x14ac:dyDescent="0.2">
      <c r="A97" s="86">
        <v>6</v>
      </c>
      <c r="B97" s="150">
        <f t="shared" si="4"/>
        <v>45809</v>
      </c>
      <c r="C97" s="166">
        <f t="shared" si="32"/>
        <v>45841</v>
      </c>
      <c r="D97" s="166">
        <f t="shared" si="32"/>
        <v>45862</v>
      </c>
      <c r="E97" s="1" t="s">
        <v>8</v>
      </c>
      <c r="F97" s="86">
        <v>9</v>
      </c>
      <c r="G97" s="152">
        <v>130</v>
      </c>
      <c r="H97" s="153">
        <f t="shared" si="25"/>
        <v>9.4686125004343911</v>
      </c>
      <c r="I97" s="153">
        <f t="shared" si="20"/>
        <v>10.334473961803646</v>
      </c>
      <c r="J97" s="104">
        <f t="shared" si="2"/>
        <v>1343.4816150344739</v>
      </c>
      <c r="K97" s="154">
        <f t="shared" si="30"/>
        <v>1230.9196250564707</v>
      </c>
      <c r="L97" s="155">
        <f t="shared" si="31"/>
        <v>112.56198997800311</v>
      </c>
      <c r="M97" s="104">
        <f t="shared" si="26"/>
        <v>8.0596034506952687</v>
      </c>
      <c r="N97" s="156">
        <f t="shared" si="27"/>
        <v>120.62159342869838</v>
      </c>
      <c r="O97" s="104">
        <v>0</v>
      </c>
      <c r="P97" s="104">
        <v>0</v>
      </c>
      <c r="Q97" s="104">
        <v>0</v>
      </c>
      <c r="R97" s="156">
        <f t="shared" si="28"/>
        <v>120.62159342869838</v>
      </c>
    </row>
    <row r="98" spans="1:18" x14ac:dyDescent="0.2">
      <c r="A98" s="86">
        <v>7</v>
      </c>
      <c r="B98" s="150">
        <f t="shared" si="4"/>
        <v>45839</v>
      </c>
      <c r="C98" s="166">
        <f t="shared" si="32"/>
        <v>45874</v>
      </c>
      <c r="D98" s="166">
        <f t="shared" si="32"/>
        <v>45894</v>
      </c>
      <c r="E98" s="1" t="s">
        <v>8</v>
      </c>
      <c r="F98" s="86">
        <v>9</v>
      </c>
      <c r="G98" s="152">
        <v>151</v>
      </c>
      <c r="H98" s="153">
        <f t="shared" si="25"/>
        <v>9.4686125004343911</v>
      </c>
      <c r="I98" s="153">
        <f t="shared" si="20"/>
        <v>10.334473961803646</v>
      </c>
      <c r="J98" s="104">
        <f t="shared" si="2"/>
        <v>1560.5055682323505</v>
      </c>
      <c r="K98" s="154">
        <f t="shared" si="30"/>
        <v>1429.7604875655929</v>
      </c>
      <c r="L98" s="155">
        <f t="shared" si="31"/>
        <v>130.74508066675753</v>
      </c>
      <c r="M98" s="104">
        <f t="shared" si="26"/>
        <v>9.3615393927306592</v>
      </c>
      <c r="N98" s="156">
        <f t="shared" si="27"/>
        <v>140.10662005948819</v>
      </c>
      <c r="O98" s="104">
        <v>0</v>
      </c>
      <c r="P98" s="104">
        <v>0</v>
      </c>
      <c r="Q98" s="104">
        <v>0</v>
      </c>
      <c r="R98" s="156">
        <f t="shared" si="28"/>
        <v>140.10662005948819</v>
      </c>
    </row>
    <row r="99" spans="1:18" x14ac:dyDescent="0.2">
      <c r="A99" s="86">
        <v>8</v>
      </c>
      <c r="B99" s="150">
        <f t="shared" si="4"/>
        <v>45870</v>
      </c>
      <c r="C99" s="166">
        <f t="shared" si="32"/>
        <v>45904</v>
      </c>
      <c r="D99" s="166">
        <f t="shared" si="32"/>
        <v>45924</v>
      </c>
      <c r="E99" s="1" t="s">
        <v>8</v>
      </c>
      <c r="F99" s="86">
        <v>9</v>
      </c>
      <c r="G99" s="152">
        <v>145</v>
      </c>
      <c r="H99" s="153">
        <f t="shared" si="25"/>
        <v>9.4686125004343911</v>
      </c>
      <c r="I99" s="153">
        <f t="shared" si="20"/>
        <v>10.334473961803646</v>
      </c>
      <c r="J99" s="104">
        <f t="shared" si="2"/>
        <v>1498.4987244615286</v>
      </c>
      <c r="K99" s="154">
        <f t="shared" si="30"/>
        <v>1372.9488125629866</v>
      </c>
      <c r="L99" s="155">
        <f t="shared" si="31"/>
        <v>125.54991189854195</v>
      </c>
      <c r="M99" s="104">
        <f t="shared" si="26"/>
        <v>8.9895576950062619</v>
      </c>
      <c r="N99" s="156">
        <f t="shared" si="27"/>
        <v>134.5394695935482</v>
      </c>
      <c r="O99" s="104">
        <v>0</v>
      </c>
      <c r="P99" s="104">
        <v>0</v>
      </c>
      <c r="Q99" s="104">
        <v>0</v>
      </c>
      <c r="R99" s="156">
        <f t="shared" si="28"/>
        <v>134.5394695935482</v>
      </c>
    </row>
    <row r="100" spans="1:18" x14ac:dyDescent="0.2">
      <c r="A100" s="86">
        <v>9</v>
      </c>
      <c r="B100" s="150">
        <f t="shared" si="4"/>
        <v>45901</v>
      </c>
      <c r="C100" s="166">
        <f t="shared" si="32"/>
        <v>45933</v>
      </c>
      <c r="D100" s="166">
        <f t="shared" si="32"/>
        <v>45954</v>
      </c>
      <c r="E100" s="1" t="s">
        <v>8</v>
      </c>
      <c r="F100" s="86">
        <v>9</v>
      </c>
      <c r="G100" s="152">
        <v>126</v>
      </c>
      <c r="H100" s="153">
        <f t="shared" si="25"/>
        <v>9.4686125004343911</v>
      </c>
      <c r="I100" s="153">
        <f t="shared" si="20"/>
        <v>10.334473961803646</v>
      </c>
      <c r="J100" s="104">
        <f t="shared" si="2"/>
        <v>1302.1437191872594</v>
      </c>
      <c r="K100" s="154">
        <f t="shared" si="30"/>
        <v>1193.0451750547334</v>
      </c>
      <c r="L100" s="155">
        <f t="shared" si="31"/>
        <v>109.09854413252606</v>
      </c>
      <c r="M100" s="104">
        <f t="shared" si="26"/>
        <v>7.811615652212339</v>
      </c>
      <c r="N100" s="156">
        <f t="shared" si="27"/>
        <v>116.9101597847384</v>
      </c>
      <c r="O100" s="104">
        <v>0</v>
      </c>
      <c r="P100" s="104">
        <v>0</v>
      </c>
      <c r="Q100" s="104">
        <v>0</v>
      </c>
      <c r="R100" s="156">
        <f t="shared" si="28"/>
        <v>116.9101597847384</v>
      </c>
    </row>
    <row r="101" spans="1:18" x14ac:dyDescent="0.2">
      <c r="A101" s="86">
        <v>10</v>
      </c>
      <c r="B101" s="150">
        <f t="shared" si="4"/>
        <v>45931</v>
      </c>
      <c r="C101" s="166">
        <f t="shared" si="32"/>
        <v>45966</v>
      </c>
      <c r="D101" s="166">
        <f t="shared" si="32"/>
        <v>45985</v>
      </c>
      <c r="E101" s="1" t="s">
        <v>8</v>
      </c>
      <c r="F101" s="86">
        <v>9</v>
      </c>
      <c r="G101" s="152">
        <v>106</v>
      </c>
      <c r="H101" s="153">
        <f t="shared" si="25"/>
        <v>9.4686125004343911</v>
      </c>
      <c r="I101" s="153">
        <f t="shared" si="20"/>
        <v>10.334473961803646</v>
      </c>
      <c r="J101" s="104">
        <f t="shared" si="2"/>
        <v>1095.4542399511865</v>
      </c>
      <c r="K101" s="154">
        <f t="shared" si="30"/>
        <v>1003.6729250460454</v>
      </c>
      <c r="L101" s="155">
        <f t="shared" si="31"/>
        <v>91.78131490514113</v>
      </c>
      <c r="M101" s="104">
        <f t="shared" si="26"/>
        <v>6.5716766597976815</v>
      </c>
      <c r="N101" s="156">
        <f t="shared" si="27"/>
        <v>98.352991564938804</v>
      </c>
      <c r="O101" s="104">
        <v>0</v>
      </c>
      <c r="P101" s="104">
        <v>0</v>
      </c>
      <c r="Q101" s="104">
        <v>0</v>
      </c>
      <c r="R101" s="156">
        <f t="shared" si="28"/>
        <v>98.352991564938804</v>
      </c>
    </row>
    <row r="102" spans="1:18" x14ac:dyDescent="0.2">
      <c r="A102" s="86">
        <v>11</v>
      </c>
      <c r="B102" s="150">
        <f t="shared" si="4"/>
        <v>45962</v>
      </c>
      <c r="C102" s="166">
        <f t="shared" si="32"/>
        <v>45994</v>
      </c>
      <c r="D102" s="166">
        <f t="shared" si="32"/>
        <v>46015</v>
      </c>
      <c r="E102" s="1" t="s">
        <v>8</v>
      </c>
      <c r="F102" s="86">
        <v>9</v>
      </c>
      <c r="G102" s="152">
        <v>67</v>
      </c>
      <c r="H102" s="153">
        <f t="shared" si="25"/>
        <v>9.4686125004343911</v>
      </c>
      <c r="I102" s="153">
        <f t="shared" si="20"/>
        <v>10.334473961803646</v>
      </c>
      <c r="J102" s="104">
        <f t="shared" si="2"/>
        <v>692.40975544084426</v>
      </c>
      <c r="K102" s="154">
        <f t="shared" si="30"/>
        <v>634.39703752910418</v>
      </c>
      <c r="L102" s="155">
        <f t="shared" si="31"/>
        <v>58.012717911740083</v>
      </c>
      <c r="M102" s="104">
        <f t="shared" si="26"/>
        <v>4.153795624589101</v>
      </c>
      <c r="N102" s="156">
        <f t="shared" si="27"/>
        <v>62.166513536329184</v>
      </c>
      <c r="O102" s="104">
        <v>0</v>
      </c>
      <c r="P102" s="104">
        <v>0</v>
      </c>
      <c r="Q102" s="104">
        <v>0</v>
      </c>
      <c r="R102" s="156">
        <f t="shared" si="28"/>
        <v>62.166513536329184</v>
      </c>
    </row>
    <row r="103" spans="1:18" s="170" customFormat="1" x14ac:dyDescent="0.2">
      <c r="A103" s="86">
        <v>12</v>
      </c>
      <c r="B103" s="168">
        <f t="shared" si="4"/>
        <v>45992</v>
      </c>
      <c r="C103" s="166">
        <f t="shared" si="32"/>
        <v>46028</v>
      </c>
      <c r="D103" s="166">
        <f t="shared" si="32"/>
        <v>46048</v>
      </c>
      <c r="E103" s="169" t="s">
        <v>8</v>
      </c>
      <c r="F103" s="127">
        <v>9</v>
      </c>
      <c r="G103" s="190">
        <v>82</v>
      </c>
      <c r="H103" s="158">
        <f t="shared" si="25"/>
        <v>9.4686125004343911</v>
      </c>
      <c r="I103" s="158">
        <f t="shared" si="20"/>
        <v>10.334473961803646</v>
      </c>
      <c r="J103" s="159">
        <f t="shared" si="2"/>
        <v>847.42686486789898</v>
      </c>
      <c r="K103" s="160">
        <f t="shared" si="30"/>
        <v>776.42622503562006</v>
      </c>
      <c r="L103" s="161">
        <f t="shared" si="31"/>
        <v>71.000639832278921</v>
      </c>
      <c r="M103" s="159">
        <f t="shared" si="26"/>
        <v>5.0837498689000933</v>
      </c>
      <c r="N103" s="191">
        <f t="shared" si="27"/>
        <v>76.08438970117902</v>
      </c>
      <c r="O103" s="159">
        <v>0</v>
      </c>
      <c r="P103" s="159">
        <v>0</v>
      </c>
      <c r="Q103" s="159">
        <v>0</v>
      </c>
      <c r="R103" s="191">
        <f t="shared" si="28"/>
        <v>76.08438970117902</v>
      </c>
    </row>
    <row r="104" spans="1:18" x14ac:dyDescent="0.2">
      <c r="A104" s="86">
        <v>1</v>
      </c>
      <c r="B104" s="150">
        <f t="shared" si="4"/>
        <v>45658</v>
      </c>
      <c r="C104" s="163">
        <f t="shared" si="32"/>
        <v>45693</v>
      </c>
      <c r="D104" s="163">
        <f t="shared" si="32"/>
        <v>45712</v>
      </c>
      <c r="E104" s="151" t="s">
        <v>19</v>
      </c>
      <c r="F104" s="86">
        <v>9</v>
      </c>
      <c r="G104" s="152">
        <v>70</v>
      </c>
      <c r="H104" s="153">
        <f t="shared" si="25"/>
        <v>9.4686125004343911</v>
      </c>
      <c r="I104" s="153">
        <f t="shared" si="20"/>
        <v>10.334473961803646</v>
      </c>
      <c r="J104" s="104">
        <f t="shared" si="2"/>
        <v>723.41317732625521</v>
      </c>
      <c r="K104" s="154">
        <f t="shared" si="30"/>
        <v>662.80287503040734</v>
      </c>
      <c r="L104" s="155">
        <f t="shared" si="31"/>
        <v>60.610302295847873</v>
      </c>
      <c r="M104" s="104">
        <f t="shared" si="26"/>
        <v>4.3397864734512988</v>
      </c>
      <c r="N104" s="156">
        <f t="shared" si="27"/>
        <v>64.950088769299171</v>
      </c>
      <c r="O104" s="104">
        <v>0</v>
      </c>
      <c r="P104" s="104">
        <v>0</v>
      </c>
      <c r="Q104" s="104">
        <v>0</v>
      </c>
      <c r="R104" s="156">
        <f t="shared" si="28"/>
        <v>64.950088769299171</v>
      </c>
    </row>
    <row r="105" spans="1:18" x14ac:dyDescent="0.2">
      <c r="A105" s="86">
        <v>2</v>
      </c>
      <c r="B105" s="150">
        <f t="shared" si="4"/>
        <v>45689</v>
      </c>
      <c r="C105" s="166">
        <f t="shared" si="32"/>
        <v>45721</v>
      </c>
      <c r="D105" s="166">
        <f t="shared" si="32"/>
        <v>45740</v>
      </c>
      <c r="E105" s="157" t="s">
        <v>19</v>
      </c>
      <c r="F105" s="86">
        <v>9</v>
      </c>
      <c r="G105" s="152">
        <v>50</v>
      </c>
      <c r="H105" s="153">
        <f t="shared" si="25"/>
        <v>9.4686125004343911</v>
      </c>
      <c r="I105" s="153">
        <f t="shared" si="20"/>
        <v>10.334473961803646</v>
      </c>
      <c r="J105" s="104">
        <f t="shared" si="2"/>
        <v>516.72369809018232</v>
      </c>
      <c r="K105" s="154">
        <f t="shared" si="30"/>
        <v>473.43062502171955</v>
      </c>
      <c r="L105" s="155">
        <f t="shared" si="31"/>
        <v>43.293073068462775</v>
      </c>
      <c r="M105" s="104">
        <f t="shared" si="26"/>
        <v>3.0998474810366421</v>
      </c>
      <c r="N105" s="156">
        <f t="shared" si="27"/>
        <v>46.392920549499415</v>
      </c>
      <c r="O105" s="104">
        <v>0</v>
      </c>
      <c r="P105" s="104">
        <v>0</v>
      </c>
      <c r="Q105" s="104">
        <v>0</v>
      </c>
      <c r="R105" s="156">
        <f t="shared" si="28"/>
        <v>46.392920549499415</v>
      </c>
    </row>
    <row r="106" spans="1:18" x14ac:dyDescent="0.2">
      <c r="A106" s="86">
        <v>3</v>
      </c>
      <c r="B106" s="150">
        <f t="shared" si="4"/>
        <v>45717</v>
      </c>
      <c r="C106" s="166">
        <f t="shared" si="32"/>
        <v>45750</v>
      </c>
      <c r="D106" s="166">
        <f t="shared" si="32"/>
        <v>45771</v>
      </c>
      <c r="E106" s="157" t="s">
        <v>19</v>
      </c>
      <c r="F106" s="86">
        <v>9</v>
      </c>
      <c r="G106" s="152">
        <v>67</v>
      </c>
      <c r="H106" s="153">
        <f t="shared" si="25"/>
        <v>9.4686125004343911</v>
      </c>
      <c r="I106" s="153">
        <f t="shared" si="20"/>
        <v>10.334473961803646</v>
      </c>
      <c r="J106" s="104">
        <f t="shared" si="2"/>
        <v>692.40975544084426</v>
      </c>
      <c r="K106" s="154">
        <f t="shared" si="30"/>
        <v>634.39703752910418</v>
      </c>
      <c r="L106" s="155">
        <f>+J106-K106</f>
        <v>58.012717911740083</v>
      </c>
      <c r="M106" s="104">
        <f t="shared" si="26"/>
        <v>4.153795624589101</v>
      </c>
      <c r="N106" s="156">
        <f t="shared" si="27"/>
        <v>62.166513536329184</v>
      </c>
      <c r="O106" s="104">
        <v>0</v>
      </c>
      <c r="P106" s="104">
        <v>0</v>
      </c>
      <c r="Q106" s="104">
        <v>0</v>
      </c>
      <c r="R106" s="156">
        <f t="shared" si="28"/>
        <v>62.166513536329184</v>
      </c>
    </row>
    <row r="107" spans="1:18" x14ac:dyDescent="0.2">
      <c r="A107" s="86">
        <v>4</v>
      </c>
      <c r="B107" s="150">
        <f t="shared" si="4"/>
        <v>45748</v>
      </c>
      <c r="C107" s="166">
        <f t="shared" si="32"/>
        <v>45782</v>
      </c>
      <c r="D107" s="166">
        <f t="shared" si="32"/>
        <v>45803</v>
      </c>
      <c r="E107" s="1" t="s">
        <v>19</v>
      </c>
      <c r="F107" s="86">
        <v>9</v>
      </c>
      <c r="G107" s="152">
        <v>71</v>
      </c>
      <c r="H107" s="153">
        <f t="shared" si="25"/>
        <v>9.4686125004343911</v>
      </c>
      <c r="I107" s="153">
        <f t="shared" si="20"/>
        <v>10.334473961803646</v>
      </c>
      <c r="J107" s="104">
        <f t="shared" si="2"/>
        <v>733.74765128805882</v>
      </c>
      <c r="K107" s="154">
        <f t="shared" si="30"/>
        <v>672.2714875308418</v>
      </c>
      <c r="L107" s="155">
        <f t="shared" ref="L107:L115" si="33">+J107-K107</f>
        <v>61.476163757217023</v>
      </c>
      <c r="M107" s="104">
        <f t="shared" si="26"/>
        <v>4.4017834230720316</v>
      </c>
      <c r="N107" s="156">
        <f t="shared" si="27"/>
        <v>65.877947180289055</v>
      </c>
      <c r="O107" s="104">
        <v>0</v>
      </c>
      <c r="P107" s="104">
        <v>0</v>
      </c>
      <c r="Q107" s="104">
        <v>0</v>
      </c>
      <c r="R107" s="156">
        <f t="shared" si="28"/>
        <v>65.877947180289055</v>
      </c>
    </row>
    <row r="108" spans="1:18" x14ac:dyDescent="0.2">
      <c r="A108" s="86">
        <v>5</v>
      </c>
      <c r="B108" s="150">
        <f t="shared" si="4"/>
        <v>45778</v>
      </c>
      <c r="C108" s="166">
        <f t="shared" si="32"/>
        <v>45812</v>
      </c>
      <c r="D108" s="166">
        <f t="shared" si="32"/>
        <v>45832</v>
      </c>
      <c r="E108" s="1" t="s">
        <v>19</v>
      </c>
      <c r="F108" s="86">
        <v>9</v>
      </c>
      <c r="G108" s="152">
        <v>64</v>
      </c>
      <c r="H108" s="153">
        <f t="shared" si="25"/>
        <v>9.4686125004343911</v>
      </c>
      <c r="I108" s="153">
        <f t="shared" ref="I108:I127" si="34">$J$3</f>
        <v>10.334473961803646</v>
      </c>
      <c r="J108" s="104">
        <f t="shared" si="2"/>
        <v>661.40633355543332</v>
      </c>
      <c r="K108" s="154">
        <f t="shared" si="30"/>
        <v>605.99120002780103</v>
      </c>
      <c r="L108" s="155">
        <f t="shared" si="33"/>
        <v>55.415133527632292</v>
      </c>
      <c r="M108" s="104">
        <f t="shared" si="26"/>
        <v>3.9678047757269015</v>
      </c>
      <c r="N108" s="156">
        <f t="shared" si="27"/>
        <v>59.382938303359197</v>
      </c>
      <c r="O108" s="104">
        <v>0</v>
      </c>
      <c r="P108" s="104">
        <v>0</v>
      </c>
      <c r="Q108" s="104">
        <v>0</v>
      </c>
      <c r="R108" s="156">
        <f t="shared" si="28"/>
        <v>59.382938303359197</v>
      </c>
    </row>
    <row r="109" spans="1:18" x14ac:dyDescent="0.2">
      <c r="A109" s="86">
        <v>6</v>
      </c>
      <c r="B109" s="150">
        <f t="shared" ref="B109:B148" si="35">DATE($R$1,A109,1)</f>
        <v>45809</v>
      </c>
      <c r="C109" s="166">
        <f t="shared" si="32"/>
        <v>45841</v>
      </c>
      <c r="D109" s="166">
        <f t="shared" si="32"/>
        <v>45862</v>
      </c>
      <c r="E109" s="1" t="s">
        <v>19</v>
      </c>
      <c r="F109" s="86">
        <v>9</v>
      </c>
      <c r="G109" s="152">
        <v>72</v>
      </c>
      <c r="H109" s="153">
        <f t="shared" si="25"/>
        <v>9.4686125004343911</v>
      </c>
      <c r="I109" s="153">
        <f t="shared" si="34"/>
        <v>10.334473961803646</v>
      </c>
      <c r="J109" s="104">
        <f t="shared" ref="J109:J148" si="36">+$G109*I109</f>
        <v>744.08212524986243</v>
      </c>
      <c r="K109" s="154">
        <f t="shared" si="30"/>
        <v>681.74010003127614</v>
      </c>
      <c r="L109" s="155">
        <f t="shared" si="33"/>
        <v>62.342025218586286</v>
      </c>
      <c r="M109" s="104">
        <f t="shared" si="26"/>
        <v>4.4637803726927645</v>
      </c>
      <c r="N109" s="156">
        <f t="shared" si="27"/>
        <v>66.805805591279054</v>
      </c>
      <c r="O109" s="104">
        <v>0</v>
      </c>
      <c r="P109" s="104">
        <v>0</v>
      </c>
      <c r="Q109" s="104">
        <v>0</v>
      </c>
      <c r="R109" s="156">
        <f t="shared" si="28"/>
        <v>66.805805591279054</v>
      </c>
    </row>
    <row r="110" spans="1:18" x14ac:dyDescent="0.2">
      <c r="A110" s="86">
        <v>7</v>
      </c>
      <c r="B110" s="150">
        <f t="shared" si="35"/>
        <v>45839</v>
      </c>
      <c r="C110" s="166">
        <f t="shared" si="32"/>
        <v>45874</v>
      </c>
      <c r="D110" s="166">
        <f t="shared" si="32"/>
        <v>45894</v>
      </c>
      <c r="E110" s="1" t="s">
        <v>19</v>
      </c>
      <c r="F110" s="86">
        <v>9</v>
      </c>
      <c r="G110" s="152">
        <v>11</v>
      </c>
      <c r="H110" s="153">
        <f t="shared" si="25"/>
        <v>9.4686125004343911</v>
      </c>
      <c r="I110" s="153">
        <f t="shared" si="34"/>
        <v>10.334473961803646</v>
      </c>
      <c r="J110" s="104">
        <f t="shared" si="36"/>
        <v>113.67921357984011</v>
      </c>
      <c r="K110" s="154">
        <f t="shared" si="30"/>
        <v>104.1547375047783</v>
      </c>
      <c r="L110" s="155">
        <f t="shared" si="33"/>
        <v>9.5244760750618127</v>
      </c>
      <c r="M110" s="104">
        <f t="shared" si="26"/>
        <v>0.68196644582806132</v>
      </c>
      <c r="N110" s="156">
        <f t="shared" si="27"/>
        <v>10.206442520889874</v>
      </c>
      <c r="O110" s="104">
        <v>0</v>
      </c>
      <c r="P110" s="104">
        <v>0</v>
      </c>
      <c r="Q110" s="104">
        <v>0</v>
      </c>
      <c r="R110" s="156">
        <f t="shared" si="28"/>
        <v>10.206442520889874</v>
      </c>
    </row>
    <row r="111" spans="1:18" x14ac:dyDescent="0.2">
      <c r="A111" s="86">
        <v>8</v>
      </c>
      <c r="B111" s="150">
        <f t="shared" si="35"/>
        <v>45870</v>
      </c>
      <c r="C111" s="166">
        <f t="shared" si="32"/>
        <v>45904</v>
      </c>
      <c r="D111" s="166">
        <f t="shared" si="32"/>
        <v>45924</v>
      </c>
      <c r="E111" s="1" t="s">
        <v>19</v>
      </c>
      <c r="F111" s="86">
        <v>9</v>
      </c>
      <c r="G111" s="152">
        <v>62</v>
      </c>
      <c r="H111" s="153">
        <f t="shared" si="25"/>
        <v>9.4686125004343911</v>
      </c>
      <c r="I111" s="153">
        <f t="shared" si="34"/>
        <v>10.334473961803646</v>
      </c>
      <c r="J111" s="104">
        <f t="shared" si="36"/>
        <v>640.73738563182599</v>
      </c>
      <c r="K111" s="154">
        <f t="shared" si="30"/>
        <v>587.05397502693222</v>
      </c>
      <c r="L111" s="155">
        <f t="shared" si="33"/>
        <v>53.683410604893766</v>
      </c>
      <c r="M111" s="104">
        <f t="shared" si="26"/>
        <v>3.8438108764854362</v>
      </c>
      <c r="N111" s="156">
        <f t="shared" si="27"/>
        <v>57.5272214813792</v>
      </c>
      <c r="O111" s="104">
        <v>0</v>
      </c>
      <c r="P111" s="104">
        <v>0</v>
      </c>
      <c r="Q111" s="104">
        <v>0</v>
      </c>
      <c r="R111" s="156">
        <f t="shared" si="28"/>
        <v>57.5272214813792</v>
      </c>
    </row>
    <row r="112" spans="1:18" x14ac:dyDescent="0.2">
      <c r="A112" s="86">
        <v>9</v>
      </c>
      <c r="B112" s="150">
        <f t="shared" si="35"/>
        <v>45901</v>
      </c>
      <c r="C112" s="166">
        <f t="shared" si="32"/>
        <v>45933</v>
      </c>
      <c r="D112" s="166">
        <f t="shared" si="32"/>
        <v>45954</v>
      </c>
      <c r="E112" s="1" t="s">
        <v>19</v>
      </c>
      <c r="F112" s="86">
        <v>9</v>
      </c>
      <c r="G112" s="152">
        <v>72</v>
      </c>
      <c r="H112" s="153">
        <f t="shared" si="25"/>
        <v>9.4686125004343911</v>
      </c>
      <c r="I112" s="153">
        <f t="shared" si="34"/>
        <v>10.334473961803646</v>
      </c>
      <c r="J112" s="104">
        <f t="shared" si="36"/>
        <v>744.08212524986243</v>
      </c>
      <c r="K112" s="154">
        <f t="shared" si="30"/>
        <v>681.74010003127614</v>
      </c>
      <c r="L112" s="155">
        <f t="shared" si="33"/>
        <v>62.342025218586286</v>
      </c>
      <c r="M112" s="104">
        <f t="shared" si="26"/>
        <v>4.4637803726927645</v>
      </c>
      <c r="N112" s="156">
        <f t="shared" si="27"/>
        <v>66.805805591279054</v>
      </c>
      <c r="O112" s="104">
        <v>0</v>
      </c>
      <c r="P112" s="104">
        <v>0</v>
      </c>
      <c r="Q112" s="104">
        <v>0</v>
      </c>
      <c r="R112" s="156">
        <f t="shared" si="28"/>
        <v>66.805805591279054</v>
      </c>
    </row>
    <row r="113" spans="1:18" x14ac:dyDescent="0.2">
      <c r="A113" s="86">
        <v>10</v>
      </c>
      <c r="B113" s="150">
        <f t="shared" si="35"/>
        <v>45931</v>
      </c>
      <c r="C113" s="166">
        <f t="shared" si="32"/>
        <v>45966</v>
      </c>
      <c r="D113" s="166">
        <f t="shared" si="32"/>
        <v>45985</v>
      </c>
      <c r="E113" s="1" t="s">
        <v>19</v>
      </c>
      <c r="F113" s="86">
        <v>9</v>
      </c>
      <c r="G113" s="152">
        <v>72</v>
      </c>
      <c r="H113" s="153">
        <f t="shared" si="25"/>
        <v>9.4686125004343911</v>
      </c>
      <c r="I113" s="153">
        <f t="shared" si="34"/>
        <v>10.334473961803646</v>
      </c>
      <c r="J113" s="104">
        <f t="shared" si="36"/>
        <v>744.08212524986243</v>
      </c>
      <c r="K113" s="154">
        <f t="shared" si="30"/>
        <v>681.74010003127614</v>
      </c>
      <c r="L113" s="155">
        <f t="shared" si="33"/>
        <v>62.342025218586286</v>
      </c>
      <c r="M113" s="104">
        <f t="shared" si="26"/>
        <v>4.4637803726927645</v>
      </c>
      <c r="N113" s="156">
        <f t="shared" si="27"/>
        <v>66.805805591279054</v>
      </c>
      <c r="O113" s="104">
        <v>0</v>
      </c>
      <c r="P113" s="104">
        <v>0</v>
      </c>
      <c r="Q113" s="104">
        <v>0</v>
      </c>
      <c r="R113" s="156">
        <f t="shared" si="28"/>
        <v>66.805805591279054</v>
      </c>
    </row>
    <row r="114" spans="1:18" x14ac:dyDescent="0.2">
      <c r="A114" s="86">
        <v>11</v>
      </c>
      <c r="B114" s="150">
        <f t="shared" si="35"/>
        <v>45962</v>
      </c>
      <c r="C114" s="166">
        <f t="shared" si="32"/>
        <v>45994</v>
      </c>
      <c r="D114" s="166">
        <f t="shared" si="32"/>
        <v>46015</v>
      </c>
      <c r="E114" s="1" t="s">
        <v>19</v>
      </c>
      <c r="F114" s="86">
        <v>9</v>
      </c>
      <c r="G114" s="152">
        <v>67</v>
      </c>
      <c r="H114" s="153">
        <f t="shared" si="25"/>
        <v>9.4686125004343911</v>
      </c>
      <c r="I114" s="153">
        <f t="shared" si="34"/>
        <v>10.334473961803646</v>
      </c>
      <c r="J114" s="104">
        <f t="shared" si="36"/>
        <v>692.40975544084426</v>
      </c>
      <c r="K114" s="154">
        <f t="shared" si="30"/>
        <v>634.39703752910418</v>
      </c>
      <c r="L114" s="155">
        <f t="shared" si="33"/>
        <v>58.012717911740083</v>
      </c>
      <c r="M114" s="104">
        <f t="shared" si="26"/>
        <v>4.153795624589101</v>
      </c>
      <c r="N114" s="156">
        <f t="shared" si="27"/>
        <v>62.166513536329184</v>
      </c>
      <c r="O114" s="104">
        <v>0</v>
      </c>
      <c r="P114" s="104">
        <v>0</v>
      </c>
      <c r="Q114" s="104">
        <v>0</v>
      </c>
      <c r="R114" s="156">
        <f t="shared" si="28"/>
        <v>62.166513536329184</v>
      </c>
    </row>
    <row r="115" spans="1:18" s="170" customFormat="1" x14ac:dyDescent="0.2">
      <c r="A115" s="86">
        <v>12</v>
      </c>
      <c r="B115" s="168">
        <f t="shared" si="35"/>
        <v>45992</v>
      </c>
      <c r="C115" s="171">
        <f t="shared" si="32"/>
        <v>46028</v>
      </c>
      <c r="D115" s="171">
        <f t="shared" si="32"/>
        <v>46048</v>
      </c>
      <c r="E115" s="169" t="s">
        <v>19</v>
      </c>
      <c r="F115" s="127">
        <v>9</v>
      </c>
      <c r="G115" s="190">
        <v>68</v>
      </c>
      <c r="H115" s="158">
        <f t="shared" si="25"/>
        <v>9.4686125004343911</v>
      </c>
      <c r="I115" s="158">
        <f t="shared" si="34"/>
        <v>10.334473961803646</v>
      </c>
      <c r="J115" s="159">
        <f t="shared" si="36"/>
        <v>702.74422940264787</v>
      </c>
      <c r="K115" s="160">
        <f t="shared" si="30"/>
        <v>643.86565002953864</v>
      </c>
      <c r="L115" s="161">
        <f t="shared" si="33"/>
        <v>58.878579373109233</v>
      </c>
      <c r="M115" s="159">
        <f t="shared" si="26"/>
        <v>4.215792574209833</v>
      </c>
      <c r="N115" s="191">
        <f t="shared" si="27"/>
        <v>63.094371947319068</v>
      </c>
      <c r="O115" s="159">
        <v>0</v>
      </c>
      <c r="P115" s="159">
        <v>0</v>
      </c>
      <c r="Q115" s="159">
        <v>0</v>
      </c>
      <c r="R115" s="191">
        <f t="shared" si="28"/>
        <v>63.094371947319068</v>
      </c>
    </row>
    <row r="116" spans="1:18" x14ac:dyDescent="0.2">
      <c r="A116" s="86">
        <v>1</v>
      </c>
      <c r="B116" s="150">
        <f t="shared" si="35"/>
        <v>45658</v>
      </c>
      <c r="C116" s="166">
        <f t="shared" si="32"/>
        <v>45693</v>
      </c>
      <c r="D116" s="166">
        <f t="shared" si="32"/>
        <v>45712</v>
      </c>
      <c r="E116" s="151" t="s">
        <v>13</v>
      </c>
      <c r="F116" s="86">
        <v>9</v>
      </c>
      <c r="G116" s="152">
        <v>1315</v>
      </c>
      <c r="H116" s="153">
        <f t="shared" si="25"/>
        <v>9.4686125004343911</v>
      </c>
      <c r="I116" s="153">
        <f t="shared" si="34"/>
        <v>10.334473961803646</v>
      </c>
      <c r="J116" s="104">
        <f t="shared" si="36"/>
        <v>13589.833259771794</v>
      </c>
      <c r="K116" s="154">
        <f t="shared" si="30"/>
        <v>12451.225438071224</v>
      </c>
      <c r="L116" s="155">
        <f>+J116-K116</f>
        <v>1138.6078217005706</v>
      </c>
      <c r="M116" s="104">
        <f t="shared" si="26"/>
        <v>81.525988751263682</v>
      </c>
      <c r="N116" s="156">
        <f t="shared" si="27"/>
        <v>1220.1338104518343</v>
      </c>
      <c r="O116" s="104">
        <v>0</v>
      </c>
      <c r="P116" s="104">
        <v>0</v>
      </c>
      <c r="Q116" s="104">
        <v>0</v>
      </c>
      <c r="R116" s="156">
        <f t="shared" si="28"/>
        <v>1220.1338104518343</v>
      </c>
    </row>
    <row r="117" spans="1:18" x14ac:dyDescent="0.2">
      <c r="A117" s="86">
        <v>2</v>
      </c>
      <c r="B117" s="150">
        <f t="shared" si="35"/>
        <v>45689</v>
      </c>
      <c r="C117" s="166">
        <f t="shared" ref="C117:D139" si="37">+C105</f>
        <v>45721</v>
      </c>
      <c r="D117" s="166">
        <f t="shared" si="37"/>
        <v>45740</v>
      </c>
      <c r="E117" s="157" t="s">
        <v>13</v>
      </c>
      <c r="F117" s="86">
        <v>9</v>
      </c>
      <c r="G117" s="152">
        <v>1377</v>
      </c>
      <c r="H117" s="153">
        <f t="shared" si="25"/>
        <v>9.4686125004343911</v>
      </c>
      <c r="I117" s="153">
        <f t="shared" si="34"/>
        <v>10.334473961803646</v>
      </c>
      <c r="J117" s="104">
        <f t="shared" si="36"/>
        <v>14230.570645403621</v>
      </c>
      <c r="K117" s="154">
        <f t="shared" si="30"/>
        <v>13038.279413098157</v>
      </c>
      <c r="L117" s="155">
        <f>+J117-K117</f>
        <v>1192.2912323054643</v>
      </c>
      <c r="M117" s="104">
        <f t="shared" si="26"/>
        <v>85.369799627749117</v>
      </c>
      <c r="N117" s="156">
        <f t="shared" si="27"/>
        <v>1277.6610319332135</v>
      </c>
      <c r="O117" s="104">
        <v>0</v>
      </c>
      <c r="P117" s="104">
        <v>0</v>
      </c>
      <c r="Q117" s="104">
        <v>0</v>
      </c>
      <c r="R117" s="156">
        <f t="shared" si="28"/>
        <v>1277.6610319332135</v>
      </c>
    </row>
    <row r="118" spans="1:18" x14ac:dyDescent="0.2">
      <c r="A118" s="86">
        <v>3</v>
      </c>
      <c r="B118" s="150">
        <f t="shared" si="35"/>
        <v>45717</v>
      </c>
      <c r="C118" s="166">
        <f t="shared" si="37"/>
        <v>45750</v>
      </c>
      <c r="D118" s="166">
        <f t="shared" si="37"/>
        <v>45771</v>
      </c>
      <c r="E118" s="157" t="s">
        <v>13</v>
      </c>
      <c r="F118" s="86">
        <v>9</v>
      </c>
      <c r="G118" s="152">
        <v>791</v>
      </c>
      <c r="H118" s="153">
        <f t="shared" si="25"/>
        <v>9.4686125004343911</v>
      </c>
      <c r="I118" s="153">
        <f t="shared" si="34"/>
        <v>10.334473961803646</v>
      </c>
      <c r="J118" s="104">
        <f t="shared" si="36"/>
        <v>8174.5689037866841</v>
      </c>
      <c r="K118" s="154">
        <f t="shared" si="30"/>
        <v>7489.6724878436034</v>
      </c>
      <c r="L118" s="155">
        <f>+J118-K118</f>
        <v>684.89641594308068</v>
      </c>
      <c r="M118" s="104">
        <f t="shared" si="26"/>
        <v>49.039587149999676</v>
      </c>
      <c r="N118" s="156">
        <f t="shared" si="27"/>
        <v>733.93600309308033</v>
      </c>
      <c r="O118" s="104">
        <v>0</v>
      </c>
      <c r="P118" s="104">
        <v>0</v>
      </c>
      <c r="Q118" s="104">
        <v>0</v>
      </c>
      <c r="R118" s="156">
        <f t="shared" si="28"/>
        <v>733.93600309308033</v>
      </c>
    </row>
    <row r="119" spans="1:18" x14ac:dyDescent="0.2">
      <c r="A119" s="86">
        <v>4</v>
      </c>
      <c r="B119" s="150">
        <f t="shared" si="35"/>
        <v>45748</v>
      </c>
      <c r="C119" s="166">
        <f t="shared" si="37"/>
        <v>45782</v>
      </c>
      <c r="D119" s="166">
        <f t="shared" si="37"/>
        <v>45803</v>
      </c>
      <c r="E119" s="1" t="s">
        <v>13</v>
      </c>
      <c r="F119" s="86">
        <v>9</v>
      </c>
      <c r="G119" s="152">
        <v>603</v>
      </c>
      <c r="H119" s="153">
        <f t="shared" si="25"/>
        <v>9.4686125004343911</v>
      </c>
      <c r="I119" s="153">
        <f t="shared" si="34"/>
        <v>10.334473961803646</v>
      </c>
      <c r="J119" s="104">
        <f t="shared" si="36"/>
        <v>6231.6877989675986</v>
      </c>
      <c r="K119" s="154">
        <f t="shared" si="30"/>
        <v>5709.5733377619381</v>
      </c>
      <c r="L119" s="155">
        <f t="shared" ref="L119:L127" si="38">+J119-K119</f>
        <v>522.11446120566052</v>
      </c>
      <c r="M119" s="104">
        <f t="shared" si="26"/>
        <v>37.384160621301902</v>
      </c>
      <c r="N119" s="156">
        <f t="shared" si="27"/>
        <v>559.49862182696245</v>
      </c>
      <c r="O119" s="104">
        <v>0</v>
      </c>
      <c r="P119" s="104">
        <v>0</v>
      </c>
      <c r="Q119" s="104">
        <v>0</v>
      </c>
      <c r="R119" s="156">
        <f t="shared" si="28"/>
        <v>559.49862182696245</v>
      </c>
    </row>
    <row r="120" spans="1:18" x14ac:dyDescent="0.2">
      <c r="A120" s="86">
        <v>5</v>
      </c>
      <c r="B120" s="150">
        <f t="shared" si="35"/>
        <v>45778</v>
      </c>
      <c r="C120" s="166">
        <f t="shared" si="37"/>
        <v>45812</v>
      </c>
      <c r="D120" s="166">
        <f t="shared" si="37"/>
        <v>45832</v>
      </c>
      <c r="E120" s="1" t="s">
        <v>13</v>
      </c>
      <c r="F120" s="86">
        <v>9</v>
      </c>
      <c r="G120" s="152">
        <v>738</v>
      </c>
      <c r="H120" s="153">
        <f t="shared" si="25"/>
        <v>9.4686125004343911</v>
      </c>
      <c r="I120" s="153">
        <f t="shared" si="34"/>
        <v>10.334473961803646</v>
      </c>
      <c r="J120" s="104">
        <f t="shared" si="36"/>
        <v>7626.8417838110909</v>
      </c>
      <c r="K120" s="154">
        <f t="shared" si="30"/>
        <v>6987.836025320581</v>
      </c>
      <c r="L120" s="155">
        <f t="shared" si="38"/>
        <v>639.00575849050983</v>
      </c>
      <c r="M120" s="104">
        <f t="shared" si="26"/>
        <v>45.753748820100839</v>
      </c>
      <c r="N120" s="156">
        <f t="shared" si="27"/>
        <v>684.75950731061062</v>
      </c>
      <c r="O120" s="104">
        <v>0</v>
      </c>
      <c r="P120" s="104">
        <v>0</v>
      </c>
      <c r="Q120" s="104">
        <v>0</v>
      </c>
      <c r="R120" s="156">
        <f t="shared" si="28"/>
        <v>684.75950731061062</v>
      </c>
    </row>
    <row r="121" spans="1:18" x14ac:dyDescent="0.2">
      <c r="A121" s="86">
        <v>6</v>
      </c>
      <c r="B121" s="150">
        <f t="shared" si="35"/>
        <v>45809</v>
      </c>
      <c r="C121" s="166">
        <f t="shared" si="37"/>
        <v>45841</v>
      </c>
      <c r="D121" s="166">
        <f t="shared" si="37"/>
        <v>45862</v>
      </c>
      <c r="E121" s="1" t="s">
        <v>13</v>
      </c>
      <c r="F121" s="86">
        <v>9</v>
      </c>
      <c r="G121" s="152">
        <v>849</v>
      </c>
      <c r="H121" s="153">
        <f t="shared" si="25"/>
        <v>9.4686125004343911</v>
      </c>
      <c r="I121" s="153">
        <f t="shared" si="34"/>
        <v>10.334473961803646</v>
      </c>
      <c r="J121" s="104">
        <f t="shared" si="36"/>
        <v>8773.9683935712947</v>
      </c>
      <c r="K121" s="154">
        <f t="shared" si="30"/>
        <v>8038.8520128687978</v>
      </c>
      <c r="L121" s="155">
        <f t="shared" si="38"/>
        <v>735.11638070249683</v>
      </c>
      <c r="M121" s="104">
        <f t="shared" si="26"/>
        <v>52.635410228002179</v>
      </c>
      <c r="N121" s="156">
        <f t="shared" si="27"/>
        <v>787.75179093049906</v>
      </c>
      <c r="O121" s="104">
        <v>0</v>
      </c>
      <c r="P121" s="104">
        <v>0</v>
      </c>
      <c r="Q121" s="104">
        <v>0</v>
      </c>
      <c r="R121" s="156">
        <f t="shared" si="28"/>
        <v>787.75179093049906</v>
      </c>
    </row>
    <row r="122" spans="1:18" x14ac:dyDescent="0.2">
      <c r="A122" s="86">
        <v>7</v>
      </c>
      <c r="B122" s="150">
        <f t="shared" si="35"/>
        <v>45839</v>
      </c>
      <c r="C122" s="166">
        <f t="shared" si="37"/>
        <v>45874</v>
      </c>
      <c r="D122" s="166">
        <f t="shared" si="37"/>
        <v>45894</v>
      </c>
      <c r="E122" s="1" t="s">
        <v>13</v>
      </c>
      <c r="F122" s="86">
        <v>9</v>
      </c>
      <c r="G122" s="152">
        <v>978</v>
      </c>
      <c r="H122" s="153">
        <f t="shared" si="25"/>
        <v>9.4686125004343911</v>
      </c>
      <c r="I122" s="153">
        <f t="shared" si="34"/>
        <v>10.334473961803646</v>
      </c>
      <c r="J122" s="104">
        <f t="shared" si="36"/>
        <v>10107.115534643965</v>
      </c>
      <c r="K122" s="154">
        <f t="shared" si="30"/>
        <v>9260.3030254248351</v>
      </c>
      <c r="L122" s="155">
        <f t="shared" si="38"/>
        <v>846.81250921912942</v>
      </c>
      <c r="M122" s="104">
        <f t="shared" si="26"/>
        <v>60.633016729076722</v>
      </c>
      <c r="N122" s="156">
        <f t="shared" si="27"/>
        <v>907.44552594820618</v>
      </c>
      <c r="O122" s="104">
        <v>0</v>
      </c>
      <c r="P122" s="104">
        <v>0</v>
      </c>
      <c r="Q122" s="104">
        <v>0</v>
      </c>
      <c r="R122" s="156">
        <f t="shared" si="28"/>
        <v>907.44552594820618</v>
      </c>
    </row>
    <row r="123" spans="1:18" x14ac:dyDescent="0.2">
      <c r="A123" s="86">
        <v>8</v>
      </c>
      <c r="B123" s="150">
        <f t="shared" si="35"/>
        <v>45870</v>
      </c>
      <c r="C123" s="166">
        <f t="shared" si="37"/>
        <v>45904</v>
      </c>
      <c r="D123" s="166">
        <f t="shared" si="37"/>
        <v>45924</v>
      </c>
      <c r="E123" s="1" t="s">
        <v>13</v>
      </c>
      <c r="F123" s="86">
        <v>9</v>
      </c>
      <c r="G123" s="152">
        <v>1000</v>
      </c>
      <c r="H123" s="153">
        <f t="shared" si="25"/>
        <v>9.4686125004343911</v>
      </c>
      <c r="I123" s="153">
        <f t="shared" si="34"/>
        <v>10.334473961803646</v>
      </c>
      <c r="J123" s="104">
        <f t="shared" si="36"/>
        <v>10334.473961803646</v>
      </c>
      <c r="K123" s="154">
        <f t="shared" si="30"/>
        <v>9468.6125004343903</v>
      </c>
      <c r="L123" s="155">
        <f t="shared" si="38"/>
        <v>865.86146136925527</v>
      </c>
      <c r="M123" s="104">
        <f t="shared" si="26"/>
        <v>61.996949620732842</v>
      </c>
      <c r="N123" s="156">
        <f t="shared" si="27"/>
        <v>927.8584109899881</v>
      </c>
      <c r="O123" s="104">
        <v>0</v>
      </c>
      <c r="P123" s="104">
        <v>0</v>
      </c>
      <c r="Q123" s="104">
        <v>0</v>
      </c>
      <c r="R123" s="156">
        <f t="shared" si="28"/>
        <v>927.8584109899881</v>
      </c>
    </row>
    <row r="124" spans="1:18" x14ac:dyDescent="0.2">
      <c r="A124" s="86">
        <v>9</v>
      </c>
      <c r="B124" s="150">
        <f t="shared" si="35"/>
        <v>45901</v>
      </c>
      <c r="C124" s="166">
        <f t="shared" si="37"/>
        <v>45933</v>
      </c>
      <c r="D124" s="166">
        <f t="shared" si="37"/>
        <v>45954</v>
      </c>
      <c r="E124" s="1" t="s">
        <v>13</v>
      </c>
      <c r="F124" s="86">
        <v>9</v>
      </c>
      <c r="G124" s="152">
        <v>844</v>
      </c>
      <c r="H124" s="153">
        <f t="shared" si="25"/>
        <v>9.4686125004343911</v>
      </c>
      <c r="I124" s="153">
        <f t="shared" si="34"/>
        <v>10.334473961803646</v>
      </c>
      <c r="J124" s="104">
        <f t="shared" si="36"/>
        <v>8722.2960237622774</v>
      </c>
      <c r="K124" s="154">
        <f t="shared" si="30"/>
        <v>7991.5089503666259</v>
      </c>
      <c r="L124" s="155">
        <f t="shared" si="38"/>
        <v>730.78707339565153</v>
      </c>
      <c r="M124" s="104">
        <f t="shared" si="26"/>
        <v>52.32542547989852</v>
      </c>
      <c r="N124" s="156">
        <f t="shared" si="27"/>
        <v>783.11249887555005</v>
      </c>
      <c r="O124" s="104">
        <v>0</v>
      </c>
      <c r="P124" s="104">
        <v>0</v>
      </c>
      <c r="Q124" s="104">
        <v>0</v>
      </c>
      <c r="R124" s="156">
        <f t="shared" si="28"/>
        <v>783.11249887555005</v>
      </c>
    </row>
    <row r="125" spans="1:18" x14ac:dyDescent="0.2">
      <c r="A125" s="86">
        <v>10</v>
      </c>
      <c r="B125" s="150">
        <f t="shared" si="35"/>
        <v>45931</v>
      </c>
      <c r="C125" s="166">
        <f t="shared" si="37"/>
        <v>45966</v>
      </c>
      <c r="D125" s="166">
        <f t="shared" si="37"/>
        <v>45985</v>
      </c>
      <c r="E125" s="1" t="s">
        <v>13</v>
      </c>
      <c r="F125" s="86">
        <v>9</v>
      </c>
      <c r="G125" s="152">
        <v>760</v>
      </c>
      <c r="H125" s="153">
        <f t="shared" si="25"/>
        <v>9.4686125004343911</v>
      </c>
      <c r="I125" s="153">
        <f t="shared" si="34"/>
        <v>10.334473961803646</v>
      </c>
      <c r="J125" s="104">
        <f t="shared" si="36"/>
        <v>7854.200210970771</v>
      </c>
      <c r="K125" s="154">
        <f t="shared" si="30"/>
        <v>7196.1455003301371</v>
      </c>
      <c r="L125" s="155">
        <f t="shared" si="38"/>
        <v>658.05471064063386</v>
      </c>
      <c r="M125" s="104">
        <f t="shared" si="26"/>
        <v>47.117681711756958</v>
      </c>
      <c r="N125" s="156">
        <f t="shared" si="27"/>
        <v>705.17239235239083</v>
      </c>
      <c r="O125" s="104">
        <v>0</v>
      </c>
      <c r="P125" s="104">
        <v>0</v>
      </c>
      <c r="Q125" s="104">
        <v>0</v>
      </c>
      <c r="R125" s="156">
        <f t="shared" si="28"/>
        <v>705.17239235239083</v>
      </c>
    </row>
    <row r="126" spans="1:18" x14ac:dyDescent="0.2">
      <c r="A126" s="86">
        <v>11</v>
      </c>
      <c r="B126" s="150">
        <f t="shared" si="35"/>
        <v>45962</v>
      </c>
      <c r="C126" s="166">
        <f t="shared" si="37"/>
        <v>45994</v>
      </c>
      <c r="D126" s="166">
        <f t="shared" si="37"/>
        <v>46015</v>
      </c>
      <c r="E126" s="1" t="s">
        <v>13</v>
      </c>
      <c r="F126" s="86">
        <v>9</v>
      </c>
      <c r="G126" s="152">
        <v>748</v>
      </c>
      <c r="H126" s="153">
        <f t="shared" si="25"/>
        <v>9.4686125004343911</v>
      </c>
      <c r="I126" s="153">
        <f t="shared" si="34"/>
        <v>10.334473961803646</v>
      </c>
      <c r="J126" s="104">
        <f t="shared" si="36"/>
        <v>7730.1865234291272</v>
      </c>
      <c r="K126" s="154">
        <f t="shared" si="30"/>
        <v>7082.522150324925</v>
      </c>
      <c r="L126" s="155">
        <f t="shared" si="38"/>
        <v>647.66437310420224</v>
      </c>
      <c r="M126" s="104">
        <f t="shared" si="26"/>
        <v>46.373718316308164</v>
      </c>
      <c r="N126" s="156">
        <f t="shared" si="27"/>
        <v>694.03809142051045</v>
      </c>
      <c r="O126" s="104">
        <v>0</v>
      </c>
      <c r="P126" s="104">
        <v>0</v>
      </c>
      <c r="Q126" s="104">
        <v>0</v>
      </c>
      <c r="R126" s="156">
        <f t="shared" si="28"/>
        <v>694.03809142051045</v>
      </c>
    </row>
    <row r="127" spans="1:18" s="170" customFormat="1" x14ac:dyDescent="0.2">
      <c r="A127" s="86">
        <v>12</v>
      </c>
      <c r="B127" s="168">
        <f t="shared" si="35"/>
        <v>45992</v>
      </c>
      <c r="C127" s="171">
        <f t="shared" si="37"/>
        <v>46028</v>
      </c>
      <c r="D127" s="171">
        <f t="shared" si="37"/>
        <v>46048</v>
      </c>
      <c r="E127" s="169" t="s">
        <v>13</v>
      </c>
      <c r="F127" s="127">
        <v>9</v>
      </c>
      <c r="G127" s="190">
        <v>1070</v>
      </c>
      <c r="H127" s="158">
        <f t="shared" si="25"/>
        <v>9.4686125004343911</v>
      </c>
      <c r="I127" s="158">
        <f t="shared" si="34"/>
        <v>10.334473961803646</v>
      </c>
      <c r="J127" s="159">
        <f t="shared" si="36"/>
        <v>11057.887139129902</v>
      </c>
      <c r="K127" s="160">
        <f t="shared" si="30"/>
        <v>10131.415375464798</v>
      </c>
      <c r="L127" s="161">
        <f t="shared" si="38"/>
        <v>926.47176366510394</v>
      </c>
      <c r="M127" s="159">
        <f t="shared" si="26"/>
        <v>66.336736094184147</v>
      </c>
      <c r="N127" s="191">
        <f t="shared" si="27"/>
        <v>992.80849975928811</v>
      </c>
      <c r="O127" s="159">
        <v>0</v>
      </c>
      <c r="P127" s="159">
        <v>0</v>
      </c>
      <c r="Q127" s="159">
        <v>0</v>
      </c>
      <c r="R127" s="191">
        <f t="shared" si="28"/>
        <v>992.80849975928811</v>
      </c>
    </row>
    <row r="128" spans="1:18" x14ac:dyDescent="0.2">
      <c r="A128" s="86">
        <v>1</v>
      </c>
      <c r="B128" s="150">
        <f t="shared" si="35"/>
        <v>45658</v>
      </c>
      <c r="C128" s="166">
        <f t="shared" si="37"/>
        <v>45693</v>
      </c>
      <c r="D128" s="166">
        <f t="shared" si="37"/>
        <v>45712</v>
      </c>
      <c r="E128" s="151" t="s">
        <v>15</v>
      </c>
      <c r="F128" s="86">
        <v>9</v>
      </c>
      <c r="G128" s="152">
        <v>7</v>
      </c>
      <c r="H128" s="153">
        <f t="shared" si="25"/>
        <v>9.4686125004343911</v>
      </c>
      <c r="I128" s="153">
        <f t="shared" ref="I128:I147" si="39">$J$3</f>
        <v>10.334473961803646</v>
      </c>
      <c r="J128" s="104">
        <f t="shared" si="36"/>
        <v>72.341317732625527</v>
      </c>
      <c r="K128" s="154">
        <f t="shared" si="30"/>
        <v>66.280287503040739</v>
      </c>
      <c r="L128" s="155">
        <f>+J128-K128</f>
        <v>6.0610302295847873</v>
      </c>
      <c r="M128" s="104">
        <f t="shared" si="26"/>
        <v>0.43397864734512986</v>
      </c>
      <c r="N128" s="156">
        <f t="shared" si="27"/>
        <v>6.4950088769299175</v>
      </c>
      <c r="O128" s="104">
        <v>0</v>
      </c>
      <c r="P128" s="104">
        <v>0</v>
      </c>
      <c r="Q128" s="104">
        <v>0</v>
      </c>
      <c r="R128" s="156">
        <f t="shared" si="28"/>
        <v>6.4950088769299175</v>
      </c>
    </row>
    <row r="129" spans="1:18" x14ac:dyDescent="0.2">
      <c r="A129" s="86">
        <v>2</v>
      </c>
      <c r="B129" s="150">
        <f t="shared" si="35"/>
        <v>45689</v>
      </c>
      <c r="C129" s="166">
        <f t="shared" si="37"/>
        <v>45721</v>
      </c>
      <c r="D129" s="166">
        <f t="shared" si="37"/>
        <v>45740</v>
      </c>
      <c r="E129" s="157" t="s">
        <v>15</v>
      </c>
      <c r="F129" s="86">
        <v>9</v>
      </c>
      <c r="G129" s="152">
        <v>8</v>
      </c>
      <c r="H129" s="153">
        <f t="shared" si="25"/>
        <v>9.4686125004343911</v>
      </c>
      <c r="I129" s="153">
        <f t="shared" si="39"/>
        <v>10.334473961803646</v>
      </c>
      <c r="J129" s="104">
        <f t="shared" si="36"/>
        <v>82.675791694429165</v>
      </c>
      <c r="K129" s="154">
        <f t="shared" si="30"/>
        <v>75.748900003475129</v>
      </c>
      <c r="L129" s="155">
        <f>+J129-K129</f>
        <v>6.9268916909540366</v>
      </c>
      <c r="M129" s="104">
        <f t="shared" si="26"/>
        <v>0.49597559696586269</v>
      </c>
      <c r="N129" s="156">
        <f t="shared" si="27"/>
        <v>7.4228672879198996</v>
      </c>
      <c r="O129" s="104">
        <v>0</v>
      </c>
      <c r="P129" s="104">
        <v>0</v>
      </c>
      <c r="Q129" s="104">
        <v>0</v>
      </c>
      <c r="R129" s="156">
        <f t="shared" si="28"/>
        <v>7.4228672879198996</v>
      </c>
    </row>
    <row r="130" spans="1:18" x14ac:dyDescent="0.2">
      <c r="A130" s="86">
        <v>3</v>
      </c>
      <c r="B130" s="150">
        <f t="shared" si="35"/>
        <v>45717</v>
      </c>
      <c r="C130" s="166">
        <f t="shared" si="37"/>
        <v>45750</v>
      </c>
      <c r="D130" s="166">
        <f t="shared" si="37"/>
        <v>45771</v>
      </c>
      <c r="E130" s="157" t="s">
        <v>15</v>
      </c>
      <c r="F130" s="86">
        <v>9</v>
      </c>
      <c r="G130" s="152">
        <v>7</v>
      </c>
      <c r="H130" s="153">
        <f t="shared" si="25"/>
        <v>9.4686125004343911</v>
      </c>
      <c r="I130" s="153">
        <f t="shared" si="39"/>
        <v>10.334473961803646</v>
      </c>
      <c r="J130" s="104">
        <f t="shared" si="36"/>
        <v>72.341317732625527</v>
      </c>
      <c r="K130" s="154">
        <f t="shared" si="30"/>
        <v>66.280287503040739</v>
      </c>
      <c r="L130" s="155">
        <f>+J130-K130</f>
        <v>6.0610302295847873</v>
      </c>
      <c r="M130" s="104">
        <f t="shared" si="26"/>
        <v>0.43397864734512986</v>
      </c>
      <c r="N130" s="156">
        <f t="shared" si="27"/>
        <v>6.4950088769299175</v>
      </c>
      <c r="O130" s="104">
        <v>0</v>
      </c>
      <c r="P130" s="104">
        <v>0</v>
      </c>
      <c r="Q130" s="104">
        <v>0</v>
      </c>
      <c r="R130" s="156">
        <f t="shared" si="28"/>
        <v>6.4950088769299175</v>
      </c>
    </row>
    <row r="131" spans="1:18" x14ac:dyDescent="0.2">
      <c r="A131" s="86">
        <v>4</v>
      </c>
      <c r="B131" s="150">
        <f t="shared" si="35"/>
        <v>45748</v>
      </c>
      <c r="C131" s="166">
        <f t="shared" si="37"/>
        <v>45782</v>
      </c>
      <c r="D131" s="166">
        <f t="shared" si="37"/>
        <v>45803</v>
      </c>
      <c r="E131" s="157" t="s">
        <v>15</v>
      </c>
      <c r="F131" s="86">
        <v>9</v>
      </c>
      <c r="G131" s="152">
        <v>3</v>
      </c>
      <c r="H131" s="153">
        <f t="shared" si="25"/>
        <v>9.4686125004343911</v>
      </c>
      <c r="I131" s="153">
        <f t="shared" si="39"/>
        <v>10.334473961803646</v>
      </c>
      <c r="J131" s="104">
        <f t="shared" si="36"/>
        <v>31.003421885410937</v>
      </c>
      <c r="K131" s="154">
        <f t="shared" si="30"/>
        <v>28.405837501303175</v>
      </c>
      <c r="L131" s="155">
        <f t="shared" ref="L131:L141" si="40">+J131-K131</f>
        <v>2.5975843841077619</v>
      </c>
      <c r="M131" s="104">
        <f t="shared" si="26"/>
        <v>0.18599084886219855</v>
      </c>
      <c r="N131" s="156">
        <f t="shared" si="27"/>
        <v>2.7835752329699606</v>
      </c>
      <c r="O131" s="104">
        <v>0</v>
      </c>
      <c r="P131" s="104">
        <v>0</v>
      </c>
      <c r="Q131" s="104">
        <v>0</v>
      </c>
      <c r="R131" s="156">
        <f t="shared" si="28"/>
        <v>2.7835752329699606</v>
      </c>
    </row>
    <row r="132" spans="1:18" x14ac:dyDescent="0.2">
      <c r="A132" s="86">
        <v>5</v>
      </c>
      <c r="B132" s="150">
        <f t="shared" si="35"/>
        <v>45778</v>
      </c>
      <c r="C132" s="166">
        <f t="shared" si="37"/>
        <v>45812</v>
      </c>
      <c r="D132" s="166">
        <f t="shared" si="37"/>
        <v>45832</v>
      </c>
      <c r="E132" s="1" t="s">
        <v>15</v>
      </c>
      <c r="F132" s="86">
        <v>9</v>
      </c>
      <c r="G132" s="152">
        <v>5</v>
      </c>
      <c r="H132" s="153">
        <f t="shared" si="25"/>
        <v>9.4686125004343911</v>
      </c>
      <c r="I132" s="153">
        <f t="shared" si="39"/>
        <v>10.334473961803646</v>
      </c>
      <c r="J132" s="104">
        <f t="shared" si="36"/>
        <v>51.672369809018228</v>
      </c>
      <c r="K132" s="154">
        <f t="shared" si="30"/>
        <v>47.343062502171954</v>
      </c>
      <c r="L132" s="155">
        <f t="shared" si="40"/>
        <v>4.3293073068462746</v>
      </c>
      <c r="M132" s="104">
        <f t="shared" si="26"/>
        <v>0.30998474810366416</v>
      </c>
      <c r="N132" s="156">
        <f t="shared" si="27"/>
        <v>4.639292054949939</v>
      </c>
      <c r="O132" s="104">
        <v>0</v>
      </c>
      <c r="P132" s="104">
        <v>0</v>
      </c>
      <c r="Q132" s="104">
        <v>0</v>
      </c>
      <c r="R132" s="156">
        <f t="shared" si="28"/>
        <v>4.639292054949939</v>
      </c>
    </row>
    <row r="133" spans="1:18" x14ac:dyDescent="0.2">
      <c r="A133" s="86">
        <v>6</v>
      </c>
      <c r="B133" s="150">
        <f t="shared" si="35"/>
        <v>45809</v>
      </c>
      <c r="C133" s="166">
        <f t="shared" si="37"/>
        <v>45841</v>
      </c>
      <c r="D133" s="166">
        <f t="shared" si="37"/>
        <v>45862</v>
      </c>
      <c r="E133" s="1" t="s">
        <v>15</v>
      </c>
      <c r="F133" s="86">
        <v>9</v>
      </c>
      <c r="G133" s="152">
        <v>10</v>
      </c>
      <c r="H133" s="153">
        <f t="shared" si="25"/>
        <v>9.4686125004343911</v>
      </c>
      <c r="I133" s="153">
        <f t="shared" si="39"/>
        <v>10.334473961803646</v>
      </c>
      <c r="J133" s="104">
        <f t="shared" si="36"/>
        <v>103.34473961803646</v>
      </c>
      <c r="K133" s="154">
        <f t="shared" si="30"/>
        <v>94.686125004343907</v>
      </c>
      <c r="L133" s="155">
        <f t="shared" si="40"/>
        <v>8.6586146136925493</v>
      </c>
      <c r="M133" s="104">
        <f t="shared" si="26"/>
        <v>0.61996949620732833</v>
      </c>
      <c r="N133" s="156">
        <f t="shared" si="27"/>
        <v>9.278584109899878</v>
      </c>
      <c r="O133" s="104">
        <v>0</v>
      </c>
      <c r="P133" s="104">
        <v>0</v>
      </c>
      <c r="Q133" s="104">
        <v>0</v>
      </c>
      <c r="R133" s="156">
        <f t="shared" si="28"/>
        <v>9.278584109899878</v>
      </c>
    </row>
    <row r="134" spans="1:18" x14ac:dyDescent="0.2">
      <c r="A134" s="86">
        <v>7</v>
      </c>
      <c r="B134" s="150">
        <f t="shared" si="35"/>
        <v>45839</v>
      </c>
      <c r="C134" s="166">
        <f t="shared" si="37"/>
        <v>45874</v>
      </c>
      <c r="D134" s="166">
        <f t="shared" si="37"/>
        <v>45894</v>
      </c>
      <c r="E134" s="1" t="s">
        <v>15</v>
      </c>
      <c r="F134" s="86">
        <v>9</v>
      </c>
      <c r="G134" s="152">
        <v>17</v>
      </c>
      <c r="H134" s="153">
        <f t="shared" si="25"/>
        <v>9.4686125004343911</v>
      </c>
      <c r="I134" s="153">
        <f t="shared" si="39"/>
        <v>10.334473961803646</v>
      </c>
      <c r="J134" s="104">
        <f t="shared" si="36"/>
        <v>175.68605735066197</v>
      </c>
      <c r="K134" s="154">
        <f t="shared" ref="K134:K197" si="41">+$G134*H134</f>
        <v>160.96641250738466</v>
      </c>
      <c r="L134" s="155">
        <f t="shared" si="40"/>
        <v>14.719644843277308</v>
      </c>
      <c r="M134" s="104">
        <f t="shared" si="26"/>
        <v>1.0539481435524582</v>
      </c>
      <c r="N134" s="156">
        <f t="shared" si="27"/>
        <v>15.773592986829767</v>
      </c>
      <c r="O134" s="104">
        <v>0</v>
      </c>
      <c r="P134" s="104">
        <v>0</v>
      </c>
      <c r="Q134" s="104">
        <v>0</v>
      </c>
      <c r="R134" s="156">
        <f t="shared" si="28"/>
        <v>15.773592986829767</v>
      </c>
    </row>
    <row r="135" spans="1:18" x14ac:dyDescent="0.2">
      <c r="A135" s="86">
        <v>8</v>
      </c>
      <c r="B135" s="150">
        <f t="shared" si="35"/>
        <v>45870</v>
      </c>
      <c r="C135" s="166">
        <f t="shared" si="37"/>
        <v>45904</v>
      </c>
      <c r="D135" s="166">
        <f t="shared" si="37"/>
        <v>45924</v>
      </c>
      <c r="E135" s="1" t="s">
        <v>15</v>
      </c>
      <c r="F135" s="86">
        <v>9</v>
      </c>
      <c r="G135" s="152">
        <v>16</v>
      </c>
      <c r="H135" s="153">
        <f t="shared" si="25"/>
        <v>9.4686125004343911</v>
      </c>
      <c r="I135" s="153">
        <f t="shared" si="39"/>
        <v>10.334473961803646</v>
      </c>
      <c r="J135" s="104">
        <f t="shared" si="36"/>
        <v>165.35158338885833</v>
      </c>
      <c r="K135" s="154">
        <f t="shared" si="41"/>
        <v>151.49780000695026</v>
      </c>
      <c r="L135" s="155">
        <f t="shared" si="40"/>
        <v>13.853783381908073</v>
      </c>
      <c r="M135" s="104">
        <f t="shared" si="26"/>
        <v>0.99195119393172537</v>
      </c>
      <c r="N135" s="156">
        <f t="shared" si="27"/>
        <v>14.845734575839799</v>
      </c>
      <c r="O135" s="104">
        <v>0</v>
      </c>
      <c r="P135" s="104">
        <v>0</v>
      </c>
      <c r="Q135" s="104">
        <v>0</v>
      </c>
      <c r="R135" s="156">
        <f t="shared" si="28"/>
        <v>14.845734575839799</v>
      </c>
    </row>
    <row r="136" spans="1:18" x14ac:dyDescent="0.2">
      <c r="A136" s="86">
        <v>9</v>
      </c>
      <c r="B136" s="150">
        <f t="shared" si="35"/>
        <v>45901</v>
      </c>
      <c r="C136" s="166">
        <f t="shared" si="37"/>
        <v>45933</v>
      </c>
      <c r="D136" s="166">
        <f t="shared" si="37"/>
        <v>45954</v>
      </c>
      <c r="E136" s="1" t="s">
        <v>15</v>
      </c>
      <c r="F136" s="86">
        <v>9</v>
      </c>
      <c r="G136" s="152">
        <v>8</v>
      </c>
      <c r="H136" s="153">
        <f t="shared" si="25"/>
        <v>9.4686125004343911</v>
      </c>
      <c r="I136" s="153">
        <f t="shared" si="39"/>
        <v>10.334473961803646</v>
      </c>
      <c r="J136" s="104">
        <f t="shared" si="36"/>
        <v>82.675791694429165</v>
      </c>
      <c r="K136" s="154">
        <f t="shared" si="41"/>
        <v>75.748900003475129</v>
      </c>
      <c r="L136" s="155">
        <f t="shared" si="40"/>
        <v>6.9268916909540366</v>
      </c>
      <c r="M136" s="104">
        <f t="shared" si="26"/>
        <v>0.49597559696586269</v>
      </c>
      <c r="N136" s="156">
        <f t="shared" si="27"/>
        <v>7.4228672879198996</v>
      </c>
      <c r="O136" s="104">
        <v>0</v>
      </c>
      <c r="P136" s="104">
        <v>0</v>
      </c>
      <c r="Q136" s="104">
        <v>0</v>
      </c>
      <c r="R136" s="156">
        <f t="shared" si="28"/>
        <v>7.4228672879198996</v>
      </c>
    </row>
    <row r="137" spans="1:18" x14ac:dyDescent="0.2">
      <c r="A137" s="86">
        <v>10</v>
      </c>
      <c r="B137" s="150">
        <f t="shared" si="35"/>
        <v>45931</v>
      </c>
      <c r="C137" s="166">
        <f t="shared" si="37"/>
        <v>45966</v>
      </c>
      <c r="D137" s="166">
        <f t="shared" si="37"/>
        <v>45985</v>
      </c>
      <c r="E137" s="1" t="s">
        <v>15</v>
      </c>
      <c r="F137" s="86">
        <v>9</v>
      </c>
      <c r="G137" s="152">
        <v>8</v>
      </c>
      <c r="H137" s="153">
        <f t="shared" si="25"/>
        <v>9.4686125004343911</v>
      </c>
      <c r="I137" s="153">
        <f t="shared" si="39"/>
        <v>10.334473961803646</v>
      </c>
      <c r="J137" s="104">
        <f t="shared" si="36"/>
        <v>82.675791694429165</v>
      </c>
      <c r="K137" s="154">
        <f t="shared" si="41"/>
        <v>75.748900003475129</v>
      </c>
      <c r="L137" s="155">
        <f t="shared" si="40"/>
        <v>6.9268916909540366</v>
      </c>
      <c r="M137" s="104">
        <f t="shared" si="26"/>
        <v>0.49597559696586269</v>
      </c>
      <c r="N137" s="156">
        <f t="shared" si="27"/>
        <v>7.4228672879198996</v>
      </c>
      <c r="O137" s="104">
        <v>0</v>
      </c>
      <c r="P137" s="104">
        <v>0</v>
      </c>
      <c r="Q137" s="104">
        <v>0</v>
      </c>
      <c r="R137" s="156">
        <f t="shared" si="28"/>
        <v>7.4228672879198996</v>
      </c>
    </row>
    <row r="138" spans="1:18" x14ac:dyDescent="0.2">
      <c r="A138" s="86">
        <v>11</v>
      </c>
      <c r="B138" s="150">
        <f t="shared" si="35"/>
        <v>45962</v>
      </c>
      <c r="C138" s="166">
        <f t="shared" si="37"/>
        <v>45994</v>
      </c>
      <c r="D138" s="166">
        <f t="shared" si="37"/>
        <v>46015</v>
      </c>
      <c r="E138" s="1" t="s">
        <v>15</v>
      </c>
      <c r="F138" s="86">
        <v>9</v>
      </c>
      <c r="G138" s="152">
        <v>6</v>
      </c>
      <c r="H138" s="153">
        <f t="shared" si="25"/>
        <v>9.4686125004343911</v>
      </c>
      <c r="I138" s="153">
        <f t="shared" si="39"/>
        <v>10.334473961803646</v>
      </c>
      <c r="J138" s="104">
        <f t="shared" si="36"/>
        <v>62.006843770821874</v>
      </c>
      <c r="K138" s="154">
        <f t="shared" si="41"/>
        <v>56.81167500260635</v>
      </c>
      <c r="L138" s="155">
        <f t="shared" si="40"/>
        <v>5.1951687682155239</v>
      </c>
      <c r="M138" s="104">
        <f t="shared" si="26"/>
        <v>0.3719816977243971</v>
      </c>
      <c r="N138" s="156">
        <f t="shared" si="27"/>
        <v>5.5671504659399211</v>
      </c>
      <c r="O138" s="104">
        <v>0</v>
      </c>
      <c r="P138" s="104">
        <v>0</v>
      </c>
      <c r="Q138" s="104">
        <v>0</v>
      </c>
      <c r="R138" s="156">
        <f t="shared" si="28"/>
        <v>5.5671504659399211</v>
      </c>
    </row>
    <row r="139" spans="1:18" s="170" customFormat="1" x14ac:dyDescent="0.2">
      <c r="A139" s="86">
        <v>12</v>
      </c>
      <c r="B139" s="168">
        <f t="shared" si="35"/>
        <v>45992</v>
      </c>
      <c r="C139" s="166">
        <f t="shared" si="37"/>
        <v>46028</v>
      </c>
      <c r="D139" s="166">
        <f t="shared" si="37"/>
        <v>46048</v>
      </c>
      <c r="E139" s="169" t="s">
        <v>15</v>
      </c>
      <c r="F139" s="127">
        <v>9</v>
      </c>
      <c r="G139" s="190">
        <v>7</v>
      </c>
      <c r="H139" s="158">
        <f t="shared" si="25"/>
        <v>9.4686125004343911</v>
      </c>
      <c r="I139" s="158">
        <f t="shared" si="39"/>
        <v>10.334473961803646</v>
      </c>
      <c r="J139" s="159">
        <f t="shared" si="36"/>
        <v>72.341317732625527</v>
      </c>
      <c r="K139" s="160">
        <f t="shared" si="41"/>
        <v>66.280287503040739</v>
      </c>
      <c r="L139" s="161">
        <f t="shared" si="40"/>
        <v>6.0610302295847873</v>
      </c>
      <c r="M139" s="159">
        <f t="shared" si="26"/>
        <v>0.43397864734512986</v>
      </c>
      <c r="N139" s="191">
        <f t="shared" si="27"/>
        <v>6.4950088769299175</v>
      </c>
      <c r="O139" s="159">
        <v>0</v>
      </c>
      <c r="P139" s="159">
        <v>0</v>
      </c>
      <c r="Q139" s="159">
        <v>0</v>
      </c>
      <c r="R139" s="191">
        <f t="shared" si="28"/>
        <v>6.4950088769299175</v>
      </c>
    </row>
    <row r="140" spans="1:18" x14ac:dyDescent="0.2">
      <c r="A140" s="86">
        <v>1</v>
      </c>
      <c r="B140" s="150">
        <f t="shared" si="35"/>
        <v>45658</v>
      </c>
      <c r="C140" s="163">
        <f t="shared" ref="C140:D151" si="42">+C128</f>
        <v>45693</v>
      </c>
      <c r="D140" s="163">
        <f t="shared" si="42"/>
        <v>45712</v>
      </c>
      <c r="E140" s="173" t="s">
        <v>16</v>
      </c>
      <c r="F140" s="86">
        <v>9</v>
      </c>
      <c r="G140" s="152">
        <v>2</v>
      </c>
      <c r="H140" s="153">
        <f t="shared" si="25"/>
        <v>9.4686125004343911</v>
      </c>
      <c r="I140" s="153">
        <f t="shared" si="39"/>
        <v>10.334473961803646</v>
      </c>
      <c r="J140" s="104">
        <f t="shared" si="36"/>
        <v>20.668947923607291</v>
      </c>
      <c r="K140" s="154">
        <f t="shared" si="41"/>
        <v>18.937225000868782</v>
      </c>
      <c r="L140" s="155">
        <f t="shared" si="40"/>
        <v>1.7317229227385091</v>
      </c>
      <c r="M140" s="104">
        <f t="shared" si="26"/>
        <v>0.12399389924146567</v>
      </c>
      <c r="N140" s="156">
        <f t="shared" si="27"/>
        <v>1.8557168219799749</v>
      </c>
      <c r="O140" s="104">
        <v>0</v>
      </c>
      <c r="P140" s="104">
        <v>0</v>
      </c>
      <c r="Q140" s="104">
        <v>0</v>
      </c>
      <c r="R140" s="156">
        <f t="shared" si="28"/>
        <v>1.8557168219799749</v>
      </c>
    </row>
    <row r="141" spans="1:18" x14ac:dyDescent="0.2">
      <c r="A141" s="86">
        <v>2</v>
      </c>
      <c r="B141" s="150">
        <f t="shared" si="35"/>
        <v>45689</v>
      </c>
      <c r="C141" s="166">
        <f t="shared" si="42"/>
        <v>45721</v>
      </c>
      <c r="D141" s="166">
        <f t="shared" si="42"/>
        <v>45740</v>
      </c>
      <c r="E141" s="1" t="s">
        <v>16</v>
      </c>
      <c r="F141" s="86">
        <v>9</v>
      </c>
      <c r="G141" s="152">
        <v>3</v>
      </c>
      <c r="H141" s="153">
        <f t="shared" si="25"/>
        <v>9.4686125004343911</v>
      </c>
      <c r="I141" s="153">
        <f t="shared" si="39"/>
        <v>10.334473961803646</v>
      </c>
      <c r="J141" s="104">
        <f t="shared" si="36"/>
        <v>31.003421885410937</v>
      </c>
      <c r="K141" s="154">
        <f t="shared" si="41"/>
        <v>28.405837501303175</v>
      </c>
      <c r="L141" s="155">
        <f t="shared" si="40"/>
        <v>2.5975843841077619</v>
      </c>
      <c r="M141" s="104">
        <f t="shared" si="26"/>
        <v>0.18599084886219855</v>
      </c>
      <c r="N141" s="156">
        <f t="shared" si="27"/>
        <v>2.7835752329699606</v>
      </c>
      <c r="O141" s="104">
        <v>0</v>
      </c>
      <c r="P141" s="104">
        <v>0</v>
      </c>
      <c r="Q141" s="104">
        <v>0</v>
      </c>
      <c r="R141" s="156">
        <f t="shared" si="28"/>
        <v>2.7835752329699606</v>
      </c>
    </row>
    <row r="142" spans="1:18" x14ac:dyDescent="0.2">
      <c r="A142" s="86">
        <v>3</v>
      </c>
      <c r="B142" s="150">
        <f t="shared" si="35"/>
        <v>45717</v>
      </c>
      <c r="C142" s="166">
        <f t="shared" si="42"/>
        <v>45750</v>
      </c>
      <c r="D142" s="166">
        <f t="shared" si="42"/>
        <v>45771</v>
      </c>
      <c r="E142" s="1" t="s">
        <v>16</v>
      </c>
      <c r="F142" s="86">
        <v>9</v>
      </c>
      <c r="G142" s="152">
        <v>2</v>
      </c>
      <c r="H142" s="153">
        <f t="shared" si="25"/>
        <v>9.4686125004343911</v>
      </c>
      <c r="I142" s="153">
        <f t="shared" si="39"/>
        <v>10.334473961803646</v>
      </c>
      <c r="J142" s="104">
        <f t="shared" si="36"/>
        <v>20.668947923607291</v>
      </c>
      <c r="K142" s="154">
        <f t="shared" si="41"/>
        <v>18.937225000868782</v>
      </c>
      <c r="L142" s="155">
        <f>+J142-K142</f>
        <v>1.7317229227385091</v>
      </c>
      <c r="M142" s="104">
        <f t="shared" si="26"/>
        <v>0.12399389924146567</v>
      </c>
      <c r="N142" s="156">
        <f t="shared" si="27"/>
        <v>1.8557168219799749</v>
      </c>
      <c r="O142" s="104">
        <v>0</v>
      </c>
      <c r="P142" s="104">
        <v>0</v>
      </c>
      <c r="Q142" s="104">
        <v>0</v>
      </c>
      <c r="R142" s="156">
        <f t="shared" si="28"/>
        <v>1.8557168219799749</v>
      </c>
    </row>
    <row r="143" spans="1:18" x14ac:dyDescent="0.2">
      <c r="A143" s="86">
        <v>4</v>
      </c>
      <c r="B143" s="150">
        <f t="shared" si="35"/>
        <v>45748</v>
      </c>
      <c r="C143" s="166">
        <f t="shared" si="42"/>
        <v>45782</v>
      </c>
      <c r="D143" s="166">
        <f t="shared" si="42"/>
        <v>45803</v>
      </c>
      <c r="E143" s="1" t="s">
        <v>16</v>
      </c>
      <c r="F143" s="86">
        <v>9</v>
      </c>
      <c r="G143" s="152">
        <v>1</v>
      </c>
      <c r="H143" s="153">
        <f t="shared" si="25"/>
        <v>9.4686125004343911</v>
      </c>
      <c r="I143" s="153">
        <f t="shared" si="39"/>
        <v>10.334473961803646</v>
      </c>
      <c r="J143" s="104">
        <f t="shared" si="36"/>
        <v>10.334473961803646</v>
      </c>
      <c r="K143" s="154">
        <f t="shared" si="41"/>
        <v>9.4686125004343911</v>
      </c>
      <c r="L143" s="155">
        <f t="shared" ref="L143:L153" si="43">+J143-K143</f>
        <v>0.86586146136925457</v>
      </c>
      <c r="M143" s="104">
        <f t="shared" si="26"/>
        <v>6.1996949620732836E-2</v>
      </c>
      <c r="N143" s="156">
        <f t="shared" si="27"/>
        <v>0.92785841098998745</v>
      </c>
      <c r="O143" s="104">
        <v>0</v>
      </c>
      <c r="P143" s="104">
        <v>0</v>
      </c>
      <c r="Q143" s="104">
        <v>0</v>
      </c>
      <c r="R143" s="156">
        <f t="shared" si="28"/>
        <v>0.92785841098998745</v>
      </c>
    </row>
    <row r="144" spans="1:18" x14ac:dyDescent="0.2">
      <c r="A144" s="86">
        <v>5</v>
      </c>
      <c r="B144" s="150">
        <f t="shared" si="35"/>
        <v>45778</v>
      </c>
      <c r="C144" s="166">
        <f t="shared" si="42"/>
        <v>45812</v>
      </c>
      <c r="D144" s="166">
        <f t="shared" si="42"/>
        <v>45832</v>
      </c>
      <c r="E144" s="1" t="s">
        <v>16</v>
      </c>
      <c r="F144" s="86">
        <v>9</v>
      </c>
      <c r="G144" s="152">
        <v>2</v>
      </c>
      <c r="H144" s="153">
        <f t="shared" si="25"/>
        <v>9.4686125004343911</v>
      </c>
      <c r="I144" s="153">
        <f t="shared" si="39"/>
        <v>10.334473961803646</v>
      </c>
      <c r="J144" s="104">
        <f t="shared" si="36"/>
        <v>20.668947923607291</v>
      </c>
      <c r="K144" s="154">
        <f t="shared" si="41"/>
        <v>18.937225000868782</v>
      </c>
      <c r="L144" s="155">
        <f t="shared" si="43"/>
        <v>1.7317229227385091</v>
      </c>
      <c r="M144" s="104">
        <f t="shared" si="26"/>
        <v>0.12399389924146567</v>
      </c>
      <c r="N144" s="156">
        <f t="shared" si="27"/>
        <v>1.8557168219799749</v>
      </c>
      <c r="O144" s="104">
        <v>0</v>
      </c>
      <c r="P144" s="104">
        <v>0</v>
      </c>
      <c r="Q144" s="104">
        <v>0</v>
      </c>
      <c r="R144" s="156">
        <f t="shared" si="28"/>
        <v>1.8557168219799749</v>
      </c>
    </row>
    <row r="145" spans="1:18" x14ac:dyDescent="0.2">
      <c r="A145" s="86">
        <v>6</v>
      </c>
      <c r="B145" s="150">
        <f t="shared" si="35"/>
        <v>45809</v>
      </c>
      <c r="C145" s="166">
        <f t="shared" si="42"/>
        <v>45841</v>
      </c>
      <c r="D145" s="166">
        <f t="shared" si="42"/>
        <v>45862</v>
      </c>
      <c r="E145" s="1" t="s">
        <v>16</v>
      </c>
      <c r="F145" s="86">
        <v>9</v>
      </c>
      <c r="G145" s="152">
        <v>3</v>
      </c>
      <c r="H145" s="153">
        <f t="shared" si="25"/>
        <v>9.4686125004343911</v>
      </c>
      <c r="I145" s="153">
        <f t="shared" si="39"/>
        <v>10.334473961803646</v>
      </c>
      <c r="J145" s="104">
        <f t="shared" si="36"/>
        <v>31.003421885410937</v>
      </c>
      <c r="K145" s="154">
        <f t="shared" si="41"/>
        <v>28.405837501303175</v>
      </c>
      <c r="L145" s="155">
        <f t="shared" si="43"/>
        <v>2.5975843841077619</v>
      </c>
      <c r="M145" s="104">
        <f t="shared" si="26"/>
        <v>0.18599084886219855</v>
      </c>
      <c r="N145" s="156">
        <f t="shared" si="27"/>
        <v>2.7835752329699606</v>
      </c>
      <c r="O145" s="104">
        <v>0</v>
      </c>
      <c r="P145" s="104">
        <v>0</v>
      </c>
      <c r="Q145" s="104">
        <v>0</v>
      </c>
      <c r="R145" s="156">
        <f t="shared" si="28"/>
        <v>2.7835752329699606</v>
      </c>
    </row>
    <row r="146" spans="1:18" x14ac:dyDescent="0.2">
      <c r="A146" s="86">
        <v>7</v>
      </c>
      <c r="B146" s="150">
        <f t="shared" si="35"/>
        <v>45839</v>
      </c>
      <c r="C146" s="166">
        <f t="shared" si="42"/>
        <v>45874</v>
      </c>
      <c r="D146" s="166">
        <f t="shared" si="42"/>
        <v>45894</v>
      </c>
      <c r="E146" s="1" t="s">
        <v>16</v>
      </c>
      <c r="F146" s="86">
        <v>9</v>
      </c>
      <c r="G146" s="152">
        <v>7</v>
      </c>
      <c r="H146" s="153">
        <f t="shared" si="25"/>
        <v>9.4686125004343911</v>
      </c>
      <c r="I146" s="153">
        <f t="shared" si="39"/>
        <v>10.334473961803646</v>
      </c>
      <c r="J146" s="104">
        <f t="shared" si="36"/>
        <v>72.341317732625527</v>
      </c>
      <c r="K146" s="154">
        <f t="shared" si="41"/>
        <v>66.280287503040739</v>
      </c>
      <c r="L146" s="155">
        <f t="shared" si="43"/>
        <v>6.0610302295847873</v>
      </c>
      <c r="M146" s="104">
        <f t="shared" si="26"/>
        <v>0.43397864734512986</v>
      </c>
      <c r="N146" s="156">
        <f t="shared" si="27"/>
        <v>6.4950088769299175</v>
      </c>
      <c r="O146" s="104">
        <v>0</v>
      </c>
      <c r="P146" s="104">
        <v>0</v>
      </c>
      <c r="Q146" s="104">
        <v>0</v>
      </c>
      <c r="R146" s="156">
        <f t="shared" si="28"/>
        <v>6.4950088769299175</v>
      </c>
    </row>
    <row r="147" spans="1:18" x14ac:dyDescent="0.2">
      <c r="A147" s="86">
        <v>8</v>
      </c>
      <c r="B147" s="150">
        <f t="shared" si="35"/>
        <v>45870</v>
      </c>
      <c r="C147" s="166">
        <f t="shared" si="42"/>
        <v>45904</v>
      </c>
      <c r="D147" s="166">
        <f t="shared" si="42"/>
        <v>45924</v>
      </c>
      <c r="E147" s="1" t="s">
        <v>16</v>
      </c>
      <c r="F147" s="86">
        <v>9</v>
      </c>
      <c r="G147" s="152">
        <v>5</v>
      </c>
      <c r="H147" s="153">
        <f t="shared" si="25"/>
        <v>9.4686125004343911</v>
      </c>
      <c r="I147" s="153">
        <f t="shared" si="39"/>
        <v>10.334473961803646</v>
      </c>
      <c r="J147" s="104">
        <f t="shared" si="36"/>
        <v>51.672369809018228</v>
      </c>
      <c r="K147" s="154">
        <f t="shared" si="41"/>
        <v>47.343062502171954</v>
      </c>
      <c r="L147" s="155">
        <f t="shared" si="43"/>
        <v>4.3293073068462746</v>
      </c>
      <c r="M147" s="104">
        <f t="shared" si="26"/>
        <v>0.30998474810366416</v>
      </c>
      <c r="N147" s="156">
        <f t="shared" si="27"/>
        <v>4.639292054949939</v>
      </c>
      <c r="O147" s="104">
        <v>0</v>
      </c>
      <c r="P147" s="104">
        <v>0</v>
      </c>
      <c r="Q147" s="104">
        <v>0</v>
      </c>
      <c r="R147" s="156">
        <f t="shared" si="28"/>
        <v>4.639292054949939</v>
      </c>
    </row>
    <row r="148" spans="1:18" x14ac:dyDescent="0.2">
      <c r="A148" s="86">
        <v>9</v>
      </c>
      <c r="B148" s="150">
        <f t="shared" si="35"/>
        <v>45901</v>
      </c>
      <c r="C148" s="166">
        <f t="shared" si="42"/>
        <v>45933</v>
      </c>
      <c r="D148" s="166">
        <f t="shared" si="42"/>
        <v>45954</v>
      </c>
      <c r="E148" s="1" t="s">
        <v>16</v>
      </c>
      <c r="F148" s="86">
        <v>9</v>
      </c>
      <c r="G148" s="152">
        <v>2</v>
      </c>
      <c r="H148" s="153">
        <f t="shared" si="25"/>
        <v>9.4686125004343911</v>
      </c>
      <c r="I148" s="153">
        <f t="shared" ref="I148:I179" si="44">$J$3</f>
        <v>10.334473961803646</v>
      </c>
      <c r="J148" s="104">
        <f t="shared" si="36"/>
        <v>20.668947923607291</v>
      </c>
      <c r="K148" s="154">
        <f t="shared" si="41"/>
        <v>18.937225000868782</v>
      </c>
      <c r="L148" s="155">
        <f t="shared" si="43"/>
        <v>1.7317229227385091</v>
      </c>
      <c r="M148" s="104">
        <f t="shared" si="26"/>
        <v>0.12399389924146567</v>
      </c>
      <c r="N148" s="156">
        <f t="shared" si="27"/>
        <v>1.8557168219799749</v>
      </c>
      <c r="O148" s="104">
        <v>0</v>
      </c>
      <c r="P148" s="104">
        <v>0</v>
      </c>
      <c r="Q148" s="104">
        <v>0</v>
      </c>
      <c r="R148" s="156">
        <f t="shared" si="28"/>
        <v>1.8557168219799749</v>
      </c>
    </row>
    <row r="149" spans="1:18" x14ac:dyDescent="0.2">
      <c r="A149" s="86">
        <v>10</v>
      </c>
      <c r="B149" s="150">
        <f t="shared" ref="B149:B211" si="45">DATE($R$1,A149,1)</f>
        <v>45931</v>
      </c>
      <c r="C149" s="166">
        <f t="shared" si="42"/>
        <v>45966</v>
      </c>
      <c r="D149" s="166">
        <f t="shared" si="42"/>
        <v>45985</v>
      </c>
      <c r="E149" s="1" t="s">
        <v>16</v>
      </c>
      <c r="F149" s="86">
        <v>9</v>
      </c>
      <c r="G149" s="152">
        <v>3</v>
      </c>
      <c r="H149" s="153">
        <f t="shared" ref="H149:H211" si="46">+$K$3</f>
        <v>9.4686125004343911</v>
      </c>
      <c r="I149" s="153">
        <f t="shared" si="44"/>
        <v>10.334473961803646</v>
      </c>
      <c r="J149" s="104">
        <f t="shared" ref="J149:J211" si="47">+$G149*I149</f>
        <v>31.003421885410937</v>
      </c>
      <c r="K149" s="154">
        <f t="shared" si="41"/>
        <v>28.405837501303175</v>
      </c>
      <c r="L149" s="155">
        <f t="shared" si="43"/>
        <v>2.5975843841077619</v>
      </c>
      <c r="M149" s="104">
        <f t="shared" ref="M149:M211" si="48">G149/$G$212*$M$14</f>
        <v>0.18599084886219855</v>
      </c>
      <c r="N149" s="156">
        <f t="shared" ref="N149:N211" si="49">SUM(L149:M149)</f>
        <v>2.7835752329699606</v>
      </c>
      <c r="O149" s="104">
        <v>0</v>
      </c>
      <c r="P149" s="104">
        <v>0</v>
      </c>
      <c r="Q149" s="104">
        <v>0</v>
      </c>
      <c r="R149" s="156">
        <f t="shared" ref="R149:R211" si="50">+N149-Q149</f>
        <v>2.7835752329699606</v>
      </c>
    </row>
    <row r="150" spans="1:18" x14ac:dyDescent="0.2">
      <c r="A150" s="86">
        <v>11</v>
      </c>
      <c r="B150" s="150">
        <f t="shared" si="45"/>
        <v>45962</v>
      </c>
      <c r="C150" s="166">
        <f t="shared" si="42"/>
        <v>45994</v>
      </c>
      <c r="D150" s="166">
        <f t="shared" si="42"/>
        <v>46015</v>
      </c>
      <c r="E150" s="1" t="s">
        <v>16</v>
      </c>
      <c r="F150" s="86">
        <v>9</v>
      </c>
      <c r="G150" s="152">
        <v>1</v>
      </c>
      <c r="H150" s="153">
        <f t="shared" si="46"/>
        <v>9.4686125004343911</v>
      </c>
      <c r="I150" s="153">
        <f t="shared" si="44"/>
        <v>10.334473961803646</v>
      </c>
      <c r="J150" s="104">
        <f t="shared" si="47"/>
        <v>10.334473961803646</v>
      </c>
      <c r="K150" s="154">
        <f t="shared" si="41"/>
        <v>9.4686125004343911</v>
      </c>
      <c r="L150" s="155">
        <f t="shared" si="43"/>
        <v>0.86586146136925457</v>
      </c>
      <c r="M150" s="104">
        <f t="shared" si="48"/>
        <v>6.1996949620732836E-2</v>
      </c>
      <c r="N150" s="156">
        <f t="shared" si="49"/>
        <v>0.92785841098998745</v>
      </c>
      <c r="O150" s="104">
        <v>0</v>
      </c>
      <c r="P150" s="104">
        <v>0</v>
      </c>
      <c r="Q150" s="104">
        <v>0</v>
      </c>
      <c r="R150" s="156">
        <f t="shared" si="50"/>
        <v>0.92785841098998745</v>
      </c>
    </row>
    <row r="151" spans="1:18" s="170" customFormat="1" x14ac:dyDescent="0.2">
      <c r="A151" s="86">
        <v>12</v>
      </c>
      <c r="B151" s="168">
        <f t="shared" si="45"/>
        <v>45992</v>
      </c>
      <c r="C151" s="166">
        <f t="shared" si="42"/>
        <v>46028</v>
      </c>
      <c r="D151" s="166">
        <f t="shared" si="42"/>
        <v>46048</v>
      </c>
      <c r="E151" s="169" t="s">
        <v>16</v>
      </c>
      <c r="F151" s="127">
        <v>9</v>
      </c>
      <c r="G151" s="190">
        <v>2</v>
      </c>
      <c r="H151" s="158">
        <f t="shared" si="46"/>
        <v>9.4686125004343911</v>
      </c>
      <c r="I151" s="158">
        <f t="shared" si="44"/>
        <v>10.334473961803646</v>
      </c>
      <c r="J151" s="159">
        <f t="shared" si="47"/>
        <v>20.668947923607291</v>
      </c>
      <c r="K151" s="160">
        <f t="shared" si="41"/>
        <v>18.937225000868782</v>
      </c>
      <c r="L151" s="161">
        <f t="shared" si="43"/>
        <v>1.7317229227385091</v>
      </c>
      <c r="M151" s="159">
        <f t="shared" si="48"/>
        <v>0.12399389924146567</v>
      </c>
      <c r="N151" s="191">
        <f t="shared" si="49"/>
        <v>1.8557168219799749</v>
      </c>
      <c r="O151" s="159">
        <v>0</v>
      </c>
      <c r="P151" s="159">
        <v>0</v>
      </c>
      <c r="Q151" s="159">
        <v>0</v>
      </c>
      <c r="R151" s="191">
        <f t="shared" si="50"/>
        <v>1.8557168219799749</v>
      </c>
    </row>
    <row r="152" spans="1:18" x14ac:dyDescent="0.2">
      <c r="A152" s="86">
        <v>1</v>
      </c>
      <c r="B152" s="150">
        <f t="shared" si="45"/>
        <v>45658</v>
      </c>
      <c r="C152" s="163">
        <f t="shared" ref="C152:D171" si="51">+C140</f>
        <v>45693</v>
      </c>
      <c r="D152" s="163">
        <f t="shared" si="51"/>
        <v>45712</v>
      </c>
      <c r="E152" s="173" t="s">
        <v>54</v>
      </c>
      <c r="F152" s="86">
        <v>9</v>
      </c>
      <c r="G152" s="152">
        <v>137</v>
      </c>
      <c r="H152" s="153">
        <f t="shared" si="46"/>
        <v>9.4686125004343911</v>
      </c>
      <c r="I152" s="153">
        <f t="shared" si="44"/>
        <v>10.334473961803646</v>
      </c>
      <c r="J152" s="104">
        <f t="shared" si="47"/>
        <v>1415.8229327670995</v>
      </c>
      <c r="K152" s="154">
        <f t="shared" si="41"/>
        <v>1297.1999125595116</v>
      </c>
      <c r="L152" s="155">
        <f t="shared" si="43"/>
        <v>118.62302020758784</v>
      </c>
      <c r="M152" s="104">
        <f t="shared" si="48"/>
        <v>8.4935820980403989</v>
      </c>
      <c r="N152" s="156">
        <f t="shared" si="49"/>
        <v>127.11660230562825</v>
      </c>
      <c r="O152" s="104">
        <v>0</v>
      </c>
      <c r="P152" s="104">
        <v>0</v>
      </c>
      <c r="Q152" s="104">
        <v>0</v>
      </c>
      <c r="R152" s="156">
        <f t="shared" si="50"/>
        <v>127.11660230562825</v>
      </c>
    </row>
    <row r="153" spans="1:18" x14ac:dyDescent="0.2">
      <c r="A153" s="86">
        <v>2</v>
      </c>
      <c r="B153" s="150">
        <f t="shared" si="45"/>
        <v>45689</v>
      </c>
      <c r="C153" s="166">
        <f t="shared" si="51"/>
        <v>45721</v>
      </c>
      <c r="D153" s="166">
        <f t="shared" si="51"/>
        <v>45740</v>
      </c>
      <c r="E153" s="174" t="s">
        <v>54</v>
      </c>
      <c r="F153" s="86">
        <v>9</v>
      </c>
      <c r="G153" s="152">
        <v>156</v>
      </c>
      <c r="H153" s="153">
        <f t="shared" si="46"/>
        <v>9.4686125004343911</v>
      </c>
      <c r="I153" s="153">
        <f t="shared" si="44"/>
        <v>10.334473961803646</v>
      </c>
      <c r="J153" s="104">
        <f t="shared" si="47"/>
        <v>1612.1779380413686</v>
      </c>
      <c r="K153" s="154">
        <f t="shared" si="41"/>
        <v>1477.1035500677649</v>
      </c>
      <c r="L153" s="155">
        <f t="shared" si="43"/>
        <v>135.07438797360373</v>
      </c>
      <c r="M153" s="104">
        <f t="shared" si="48"/>
        <v>9.6715241408343235</v>
      </c>
      <c r="N153" s="156">
        <f t="shared" si="49"/>
        <v>144.74591211443806</v>
      </c>
      <c r="O153" s="104">
        <v>0</v>
      </c>
      <c r="P153" s="104">
        <v>0</v>
      </c>
      <c r="Q153" s="104">
        <v>0</v>
      </c>
      <c r="R153" s="156">
        <f t="shared" si="50"/>
        <v>144.74591211443806</v>
      </c>
    </row>
    <row r="154" spans="1:18" x14ac:dyDescent="0.2">
      <c r="A154" s="86">
        <v>3</v>
      </c>
      <c r="B154" s="150">
        <f t="shared" si="45"/>
        <v>45717</v>
      </c>
      <c r="C154" s="166">
        <f t="shared" si="51"/>
        <v>45750</v>
      </c>
      <c r="D154" s="166">
        <f t="shared" si="51"/>
        <v>45771</v>
      </c>
      <c r="E154" s="174" t="s">
        <v>54</v>
      </c>
      <c r="F154" s="86">
        <v>9</v>
      </c>
      <c r="G154" s="152">
        <v>113</v>
      </c>
      <c r="H154" s="153">
        <f t="shared" si="46"/>
        <v>9.4686125004343911</v>
      </c>
      <c r="I154" s="153">
        <f t="shared" si="44"/>
        <v>10.334473961803646</v>
      </c>
      <c r="J154" s="104">
        <f t="shared" si="47"/>
        <v>1167.7955576838119</v>
      </c>
      <c r="K154" s="154">
        <f t="shared" si="41"/>
        <v>1069.9532125490862</v>
      </c>
      <c r="L154" s="155">
        <f>+J154-K154</f>
        <v>97.842345134725747</v>
      </c>
      <c r="M154" s="104">
        <f t="shared" si="48"/>
        <v>7.0056553071428107</v>
      </c>
      <c r="N154" s="156">
        <f t="shared" si="49"/>
        <v>104.84800044186856</v>
      </c>
      <c r="O154" s="104">
        <v>0</v>
      </c>
      <c r="P154" s="104">
        <v>0</v>
      </c>
      <c r="Q154" s="104">
        <v>0</v>
      </c>
      <c r="R154" s="156">
        <f t="shared" si="50"/>
        <v>104.84800044186856</v>
      </c>
    </row>
    <row r="155" spans="1:18" x14ac:dyDescent="0.2">
      <c r="A155" s="86">
        <v>4</v>
      </c>
      <c r="B155" s="150">
        <f t="shared" si="45"/>
        <v>45748</v>
      </c>
      <c r="C155" s="166">
        <f t="shared" si="51"/>
        <v>45782</v>
      </c>
      <c r="D155" s="166">
        <f t="shared" si="51"/>
        <v>45803</v>
      </c>
      <c r="E155" s="174" t="s">
        <v>54</v>
      </c>
      <c r="F155" s="86">
        <v>9</v>
      </c>
      <c r="G155" s="152">
        <v>112</v>
      </c>
      <c r="H155" s="153">
        <f t="shared" si="46"/>
        <v>9.4686125004343911</v>
      </c>
      <c r="I155" s="153">
        <f t="shared" si="44"/>
        <v>10.334473961803646</v>
      </c>
      <c r="J155" s="104">
        <f t="shared" si="47"/>
        <v>1157.4610837220084</v>
      </c>
      <c r="K155" s="154">
        <f t="shared" si="41"/>
        <v>1060.4846000486518</v>
      </c>
      <c r="L155" s="155">
        <f t="shared" ref="L155:L165" si="52">+J155-K155</f>
        <v>96.976483673356597</v>
      </c>
      <c r="M155" s="104">
        <f t="shared" si="48"/>
        <v>6.9436583575220778</v>
      </c>
      <c r="N155" s="156">
        <f t="shared" si="49"/>
        <v>103.92014203087868</v>
      </c>
      <c r="O155" s="104">
        <v>0</v>
      </c>
      <c r="P155" s="104">
        <v>0</v>
      </c>
      <c r="Q155" s="104">
        <v>0</v>
      </c>
      <c r="R155" s="156">
        <f t="shared" si="50"/>
        <v>103.92014203087868</v>
      </c>
    </row>
    <row r="156" spans="1:18" x14ac:dyDescent="0.2">
      <c r="A156" s="86">
        <v>5</v>
      </c>
      <c r="B156" s="150">
        <f t="shared" si="45"/>
        <v>45778</v>
      </c>
      <c r="C156" s="166">
        <f t="shared" si="51"/>
        <v>45812</v>
      </c>
      <c r="D156" s="166">
        <f t="shared" si="51"/>
        <v>45832</v>
      </c>
      <c r="E156" s="174" t="s">
        <v>54</v>
      </c>
      <c r="F156" s="86">
        <v>9</v>
      </c>
      <c r="G156" s="152">
        <v>142</v>
      </c>
      <c r="H156" s="153">
        <f t="shared" si="46"/>
        <v>9.4686125004343911</v>
      </c>
      <c r="I156" s="153">
        <f t="shared" si="44"/>
        <v>10.334473961803646</v>
      </c>
      <c r="J156" s="104">
        <f t="shared" si="47"/>
        <v>1467.4953025761176</v>
      </c>
      <c r="K156" s="154">
        <f t="shared" si="41"/>
        <v>1344.5429750616836</v>
      </c>
      <c r="L156" s="155">
        <f t="shared" si="52"/>
        <v>122.95232751443405</v>
      </c>
      <c r="M156" s="104">
        <f t="shared" si="48"/>
        <v>8.8035668461440633</v>
      </c>
      <c r="N156" s="156">
        <f t="shared" si="49"/>
        <v>131.75589436057811</v>
      </c>
      <c r="O156" s="104">
        <v>0</v>
      </c>
      <c r="P156" s="104">
        <v>0</v>
      </c>
      <c r="Q156" s="104">
        <v>0</v>
      </c>
      <c r="R156" s="156">
        <f t="shared" si="50"/>
        <v>131.75589436057811</v>
      </c>
    </row>
    <row r="157" spans="1:18" x14ac:dyDescent="0.2">
      <c r="A157" s="86">
        <v>6</v>
      </c>
      <c r="B157" s="150">
        <f t="shared" si="45"/>
        <v>45809</v>
      </c>
      <c r="C157" s="166">
        <f t="shared" si="51"/>
        <v>45841</v>
      </c>
      <c r="D157" s="166">
        <f t="shared" si="51"/>
        <v>45862</v>
      </c>
      <c r="E157" s="174" t="s">
        <v>54</v>
      </c>
      <c r="F157" s="86">
        <v>9</v>
      </c>
      <c r="G157" s="152">
        <v>165</v>
      </c>
      <c r="H157" s="153">
        <f t="shared" si="46"/>
        <v>9.4686125004343911</v>
      </c>
      <c r="I157" s="153">
        <f t="shared" si="44"/>
        <v>10.334473961803646</v>
      </c>
      <c r="J157" s="104">
        <f t="shared" si="47"/>
        <v>1705.1882036976015</v>
      </c>
      <c r="K157" s="154">
        <f t="shared" si="41"/>
        <v>1562.3210625716745</v>
      </c>
      <c r="L157" s="155">
        <f t="shared" si="52"/>
        <v>142.86714112592699</v>
      </c>
      <c r="M157" s="104">
        <f t="shared" si="48"/>
        <v>10.229496687420919</v>
      </c>
      <c r="N157" s="156">
        <f t="shared" si="49"/>
        <v>153.09663781334791</v>
      </c>
      <c r="O157" s="104">
        <v>0</v>
      </c>
      <c r="P157" s="104">
        <v>0</v>
      </c>
      <c r="Q157" s="104">
        <v>0</v>
      </c>
      <c r="R157" s="156">
        <f t="shared" si="50"/>
        <v>153.09663781334791</v>
      </c>
    </row>
    <row r="158" spans="1:18" x14ac:dyDescent="0.2">
      <c r="A158" s="86">
        <v>7</v>
      </c>
      <c r="B158" s="150">
        <f t="shared" si="45"/>
        <v>45839</v>
      </c>
      <c r="C158" s="166">
        <f t="shared" si="51"/>
        <v>45874</v>
      </c>
      <c r="D158" s="166">
        <f t="shared" si="51"/>
        <v>45894</v>
      </c>
      <c r="E158" s="174" t="s">
        <v>54</v>
      </c>
      <c r="F158" s="86">
        <v>9</v>
      </c>
      <c r="G158" s="152">
        <v>185</v>
      </c>
      <c r="H158" s="153">
        <f t="shared" si="46"/>
        <v>9.4686125004343911</v>
      </c>
      <c r="I158" s="153">
        <f t="shared" si="44"/>
        <v>10.334473961803646</v>
      </c>
      <c r="J158" s="104">
        <f t="shared" si="47"/>
        <v>1911.8776829336744</v>
      </c>
      <c r="K158" s="154">
        <f t="shared" si="41"/>
        <v>1751.6933125803623</v>
      </c>
      <c r="L158" s="155">
        <f t="shared" si="52"/>
        <v>160.18437035331203</v>
      </c>
      <c r="M158" s="104">
        <f t="shared" si="48"/>
        <v>11.469435679835575</v>
      </c>
      <c r="N158" s="156">
        <f t="shared" si="49"/>
        <v>171.65380603314762</v>
      </c>
      <c r="O158" s="104">
        <v>0</v>
      </c>
      <c r="P158" s="104">
        <v>0</v>
      </c>
      <c r="Q158" s="104">
        <v>0</v>
      </c>
      <c r="R158" s="156">
        <f t="shared" si="50"/>
        <v>171.65380603314762</v>
      </c>
    </row>
    <row r="159" spans="1:18" x14ac:dyDescent="0.2">
      <c r="A159" s="86">
        <v>8</v>
      </c>
      <c r="B159" s="150">
        <f t="shared" si="45"/>
        <v>45870</v>
      </c>
      <c r="C159" s="166">
        <f t="shared" si="51"/>
        <v>45904</v>
      </c>
      <c r="D159" s="166">
        <f t="shared" si="51"/>
        <v>45924</v>
      </c>
      <c r="E159" s="174" t="s">
        <v>54</v>
      </c>
      <c r="F159" s="86">
        <v>9</v>
      </c>
      <c r="G159" s="152">
        <v>191</v>
      </c>
      <c r="H159" s="153">
        <f t="shared" si="46"/>
        <v>9.4686125004343911</v>
      </c>
      <c r="I159" s="153">
        <f t="shared" si="44"/>
        <v>10.334473961803646</v>
      </c>
      <c r="J159" s="104">
        <f t="shared" si="47"/>
        <v>1973.8845267044962</v>
      </c>
      <c r="K159" s="154">
        <f t="shared" si="41"/>
        <v>1808.5049875829686</v>
      </c>
      <c r="L159" s="155">
        <f t="shared" si="52"/>
        <v>165.37953912152761</v>
      </c>
      <c r="M159" s="104">
        <f t="shared" si="48"/>
        <v>11.841417377559972</v>
      </c>
      <c r="N159" s="156">
        <f t="shared" si="49"/>
        <v>177.22095649908758</v>
      </c>
      <c r="O159" s="104">
        <v>0</v>
      </c>
      <c r="P159" s="104">
        <v>0</v>
      </c>
      <c r="Q159" s="104">
        <v>0</v>
      </c>
      <c r="R159" s="156">
        <f t="shared" si="50"/>
        <v>177.22095649908758</v>
      </c>
    </row>
    <row r="160" spans="1:18" x14ac:dyDescent="0.2">
      <c r="A160" s="86">
        <v>9</v>
      </c>
      <c r="B160" s="150">
        <f t="shared" si="45"/>
        <v>45901</v>
      </c>
      <c r="C160" s="166">
        <f t="shared" si="51"/>
        <v>45933</v>
      </c>
      <c r="D160" s="166">
        <f t="shared" si="51"/>
        <v>45954</v>
      </c>
      <c r="E160" s="174" t="s">
        <v>54</v>
      </c>
      <c r="F160" s="86">
        <v>9</v>
      </c>
      <c r="G160" s="152">
        <v>140</v>
      </c>
      <c r="H160" s="153">
        <f t="shared" si="46"/>
        <v>9.4686125004343911</v>
      </c>
      <c r="I160" s="153">
        <f t="shared" si="44"/>
        <v>10.334473961803646</v>
      </c>
      <c r="J160" s="104">
        <f t="shared" si="47"/>
        <v>1446.8263546525104</v>
      </c>
      <c r="K160" s="154">
        <f t="shared" si="41"/>
        <v>1325.6057500608147</v>
      </c>
      <c r="L160" s="155">
        <f t="shared" si="52"/>
        <v>121.22060459169575</v>
      </c>
      <c r="M160" s="104">
        <f t="shared" si="48"/>
        <v>8.6795729469025975</v>
      </c>
      <c r="N160" s="156">
        <f t="shared" si="49"/>
        <v>129.90017753859834</v>
      </c>
      <c r="O160" s="104">
        <v>0</v>
      </c>
      <c r="P160" s="104">
        <v>0</v>
      </c>
      <c r="Q160" s="104">
        <v>0</v>
      </c>
      <c r="R160" s="156">
        <f t="shared" si="50"/>
        <v>129.90017753859834</v>
      </c>
    </row>
    <row r="161" spans="1:18" x14ac:dyDescent="0.2">
      <c r="A161" s="86">
        <v>10</v>
      </c>
      <c r="B161" s="150">
        <f t="shared" si="45"/>
        <v>45931</v>
      </c>
      <c r="C161" s="166">
        <f t="shared" si="51"/>
        <v>45966</v>
      </c>
      <c r="D161" s="166">
        <f t="shared" si="51"/>
        <v>45985</v>
      </c>
      <c r="E161" s="174" t="s">
        <v>54</v>
      </c>
      <c r="F161" s="86">
        <v>9</v>
      </c>
      <c r="G161" s="152">
        <v>137</v>
      </c>
      <c r="H161" s="153">
        <f t="shared" si="46"/>
        <v>9.4686125004343911</v>
      </c>
      <c r="I161" s="153">
        <f t="shared" si="44"/>
        <v>10.334473961803646</v>
      </c>
      <c r="J161" s="104">
        <f t="shared" si="47"/>
        <v>1415.8229327670995</v>
      </c>
      <c r="K161" s="154">
        <f t="shared" si="41"/>
        <v>1297.1999125595116</v>
      </c>
      <c r="L161" s="155">
        <f t="shared" si="52"/>
        <v>118.62302020758784</v>
      </c>
      <c r="M161" s="104">
        <f t="shared" si="48"/>
        <v>8.4935820980403989</v>
      </c>
      <c r="N161" s="156">
        <f t="shared" si="49"/>
        <v>127.11660230562825</v>
      </c>
      <c r="O161" s="104">
        <v>0</v>
      </c>
      <c r="P161" s="104">
        <v>0</v>
      </c>
      <c r="Q161" s="104">
        <v>0</v>
      </c>
      <c r="R161" s="156">
        <f t="shared" si="50"/>
        <v>127.11660230562825</v>
      </c>
    </row>
    <row r="162" spans="1:18" x14ac:dyDescent="0.2">
      <c r="A162" s="86">
        <v>11</v>
      </c>
      <c r="B162" s="150">
        <f t="shared" si="45"/>
        <v>45962</v>
      </c>
      <c r="C162" s="166">
        <f t="shared" si="51"/>
        <v>45994</v>
      </c>
      <c r="D162" s="166">
        <f t="shared" si="51"/>
        <v>46015</v>
      </c>
      <c r="E162" s="174" t="s">
        <v>54</v>
      </c>
      <c r="F162" s="86">
        <v>9</v>
      </c>
      <c r="G162" s="152">
        <v>120</v>
      </c>
      <c r="H162" s="153">
        <f t="shared" si="46"/>
        <v>9.4686125004343911</v>
      </c>
      <c r="I162" s="153">
        <f t="shared" si="44"/>
        <v>10.334473961803646</v>
      </c>
      <c r="J162" s="104">
        <f t="shared" si="47"/>
        <v>1240.1368754164375</v>
      </c>
      <c r="K162" s="154">
        <f t="shared" si="41"/>
        <v>1136.2335000521268</v>
      </c>
      <c r="L162" s="155">
        <f t="shared" si="52"/>
        <v>103.9033753643107</v>
      </c>
      <c r="M162" s="104">
        <f t="shared" si="48"/>
        <v>7.4396339544879408</v>
      </c>
      <c r="N162" s="156">
        <f t="shared" si="49"/>
        <v>111.34300931879865</v>
      </c>
      <c r="O162" s="104">
        <v>0</v>
      </c>
      <c r="P162" s="104">
        <v>0</v>
      </c>
      <c r="Q162" s="104">
        <v>0</v>
      </c>
      <c r="R162" s="156">
        <f t="shared" si="50"/>
        <v>111.34300931879865</v>
      </c>
    </row>
    <row r="163" spans="1:18" s="170" customFormat="1" x14ac:dyDescent="0.2">
      <c r="A163" s="86">
        <v>12</v>
      </c>
      <c r="B163" s="168">
        <f t="shared" si="45"/>
        <v>45992</v>
      </c>
      <c r="C163" s="166">
        <f t="shared" si="51"/>
        <v>46028</v>
      </c>
      <c r="D163" s="166">
        <f t="shared" si="51"/>
        <v>46048</v>
      </c>
      <c r="E163" s="175" t="s">
        <v>54</v>
      </c>
      <c r="F163" s="127">
        <v>9</v>
      </c>
      <c r="G163" s="190">
        <v>128</v>
      </c>
      <c r="H163" s="158">
        <f t="shared" si="46"/>
        <v>9.4686125004343911</v>
      </c>
      <c r="I163" s="158">
        <f t="shared" si="44"/>
        <v>10.334473961803646</v>
      </c>
      <c r="J163" s="159">
        <f t="shared" si="47"/>
        <v>1322.8126671108666</v>
      </c>
      <c r="K163" s="160">
        <f t="shared" si="41"/>
        <v>1211.9824000556021</v>
      </c>
      <c r="L163" s="161">
        <f t="shared" si="52"/>
        <v>110.83026705526458</v>
      </c>
      <c r="M163" s="159">
        <f t="shared" si="48"/>
        <v>7.935609551453803</v>
      </c>
      <c r="N163" s="191">
        <f t="shared" si="49"/>
        <v>118.76587660671839</v>
      </c>
      <c r="O163" s="159">
        <v>0</v>
      </c>
      <c r="P163" s="159">
        <v>0</v>
      </c>
      <c r="Q163" s="159">
        <v>0</v>
      </c>
      <c r="R163" s="191">
        <f t="shared" si="50"/>
        <v>118.76587660671839</v>
      </c>
    </row>
    <row r="164" spans="1:18" x14ac:dyDescent="0.2">
      <c r="A164" s="86">
        <v>1</v>
      </c>
      <c r="B164" s="150">
        <f t="shared" si="45"/>
        <v>45658</v>
      </c>
      <c r="C164" s="163">
        <f t="shared" si="51"/>
        <v>45693</v>
      </c>
      <c r="D164" s="163">
        <f t="shared" si="51"/>
        <v>45712</v>
      </c>
      <c r="E164" s="173" t="s">
        <v>55</v>
      </c>
      <c r="F164" s="86">
        <v>9</v>
      </c>
      <c r="G164" s="152">
        <v>11</v>
      </c>
      <c r="H164" s="153">
        <f t="shared" si="46"/>
        <v>9.4686125004343911</v>
      </c>
      <c r="I164" s="153">
        <f t="shared" si="44"/>
        <v>10.334473961803646</v>
      </c>
      <c r="J164" s="104">
        <f t="shared" si="47"/>
        <v>113.67921357984011</v>
      </c>
      <c r="K164" s="154">
        <f t="shared" si="41"/>
        <v>104.1547375047783</v>
      </c>
      <c r="L164" s="155">
        <f t="shared" si="52"/>
        <v>9.5244760750618127</v>
      </c>
      <c r="M164" s="104">
        <f t="shared" si="48"/>
        <v>0.68196644582806132</v>
      </c>
      <c r="N164" s="156">
        <f t="shared" si="49"/>
        <v>10.206442520889874</v>
      </c>
      <c r="O164" s="104">
        <v>0</v>
      </c>
      <c r="P164" s="104">
        <v>0</v>
      </c>
      <c r="Q164" s="104">
        <v>0</v>
      </c>
      <c r="R164" s="156">
        <f t="shared" si="50"/>
        <v>10.206442520889874</v>
      </c>
    </row>
    <row r="165" spans="1:18" x14ac:dyDescent="0.2">
      <c r="A165" s="86">
        <v>2</v>
      </c>
      <c r="B165" s="150">
        <f t="shared" si="45"/>
        <v>45689</v>
      </c>
      <c r="C165" s="166">
        <f t="shared" si="51"/>
        <v>45721</v>
      </c>
      <c r="D165" s="166">
        <f t="shared" si="51"/>
        <v>45740</v>
      </c>
      <c r="E165" s="174" t="s">
        <v>55</v>
      </c>
      <c r="F165" s="86">
        <v>9</v>
      </c>
      <c r="G165" s="152">
        <v>9</v>
      </c>
      <c r="H165" s="153">
        <f t="shared" si="46"/>
        <v>9.4686125004343911</v>
      </c>
      <c r="I165" s="153">
        <f t="shared" si="44"/>
        <v>10.334473961803646</v>
      </c>
      <c r="J165" s="104">
        <f t="shared" si="47"/>
        <v>93.010265656232804</v>
      </c>
      <c r="K165" s="154">
        <f t="shared" si="41"/>
        <v>85.217512503909518</v>
      </c>
      <c r="L165" s="155">
        <f t="shared" si="52"/>
        <v>7.7927531523232858</v>
      </c>
      <c r="M165" s="104">
        <f t="shared" si="48"/>
        <v>0.55797254658659556</v>
      </c>
      <c r="N165" s="156">
        <f t="shared" si="49"/>
        <v>8.3507256989098817</v>
      </c>
      <c r="O165" s="104">
        <v>0</v>
      </c>
      <c r="P165" s="104">
        <v>0</v>
      </c>
      <c r="Q165" s="104">
        <v>0</v>
      </c>
      <c r="R165" s="156">
        <f t="shared" si="50"/>
        <v>8.3507256989098817</v>
      </c>
    </row>
    <row r="166" spans="1:18" x14ac:dyDescent="0.2">
      <c r="A166" s="86">
        <v>3</v>
      </c>
      <c r="B166" s="150">
        <f t="shared" si="45"/>
        <v>45717</v>
      </c>
      <c r="C166" s="166">
        <f t="shared" si="51"/>
        <v>45750</v>
      </c>
      <c r="D166" s="166">
        <f t="shared" si="51"/>
        <v>45771</v>
      </c>
      <c r="E166" s="174" t="s">
        <v>55</v>
      </c>
      <c r="F166" s="86">
        <v>9</v>
      </c>
      <c r="G166" s="152">
        <v>8</v>
      </c>
      <c r="H166" s="153">
        <f t="shared" si="46"/>
        <v>9.4686125004343911</v>
      </c>
      <c r="I166" s="153">
        <f t="shared" si="44"/>
        <v>10.334473961803646</v>
      </c>
      <c r="J166" s="104">
        <f t="shared" si="47"/>
        <v>82.675791694429165</v>
      </c>
      <c r="K166" s="154">
        <f t="shared" si="41"/>
        <v>75.748900003475129</v>
      </c>
      <c r="L166" s="155">
        <f>+J166-K166</f>
        <v>6.9268916909540366</v>
      </c>
      <c r="M166" s="104">
        <f t="shared" si="48"/>
        <v>0.49597559696586269</v>
      </c>
      <c r="N166" s="156">
        <f t="shared" si="49"/>
        <v>7.4228672879198996</v>
      </c>
      <c r="O166" s="104">
        <v>0</v>
      </c>
      <c r="P166" s="104">
        <v>0</v>
      </c>
      <c r="Q166" s="104">
        <v>0</v>
      </c>
      <c r="R166" s="156">
        <f t="shared" si="50"/>
        <v>7.4228672879198996</v>
      </c>
    </row>
    <row r="167" spans="1:18" x14ac:dyDescent="0.2">
      <c r="A167" s="86">
        <v>4</v>
      </c>
      <c r="B167" s="150">
        <f t="shared" si="45"/>
        <v>45748</v>
      </c>
      <c r="C167" s="166">
        <f t="shared" si="51"/>
        <v>45782</v>
      </c>
      <c r="D167" s="166">
        <f t="shared" si="51"/>
        <v>45803</v>
      </c>
      <c r="E167" s="174" t="s">
        <v>55</v>
      </c>
      <c r="F167" s="86">
        <v>9</v>
      </c>
      <c r="G167" s="152">
        <v>10</v>
      </c>
      <c r="H167" s="153">
        <f t="shared" si="46"/>
        <v>9.4686125004343911</v>
      </c>
      <c r="I167" s="153">
        <f t="shared" si="44"/>
        <v>10.334473961803646</v>
      </c>
      <c r="J167" s="104">
        <f t="shared" si="47"/>
        <v>103.34473961803646</v>
      </c>
      <c r="K167" s="154">
        <f t="shared" si="41"/>
        <v>94.686125004343907</v>
      </c>
      <c r="L167" s="155">
        <f t="shared" ref="L167:L177" si="53">+J167-K167</f>
        <v>8.6586146136925493</v>
      </c>
      <c r="M167" s="104">
        <f t="shared" si="48"/>
        <v>0.61996949620732833</v>
      </c>
      <c r="N167" s="156">
        <f t="shared" si="49"/>
        <v>9.278584109899878</v>
      </c>
      <c r="O167" s="104">
        <v>0</v>
      </c>
      <c r="P167" s="104">
        <v>0</v>
      </c>
      <c r="Q167" s="104">
        <v>0</v>
      </c>
      <c r="R167" s="156">
        <f t="shared" si="50"/>
        <v>9.278584109899878</v>
      </c>
    </row>
    <row r="168" spans="1:18" x14ac:dyDescent="0.2">
      <c r="A168" s="86">
        <v>5</v>
      </c>
      <c r="B168" s="150">
        <f t="shared" si="45"/>
        <v>45778</v>
      </c>
      <c r="C168" s="166">
        <f t="shared" si="51"/>
        <v>45812</v>
      </c>
      <c r="D168" s="166">
        <f t="shared" si="51"/>
        <v>45832</v>
      </c>
      <c r="E168" s="174" t="s">
        <v>55</v>
      </c>
      <c r="F168" s="86">
        <v>9</v>
      </c>
      <c r="G168" s="152">
        <v>11</v>
      </c>
      <c r="H168" s="153">
        <f t="shared" si="46"/>
        <v>9.4686125004343911</v>
      </c>
      <c r="I168" s="153">
        <f t="shared" si="44"/>
        <v>10.334473961803646</v>
      </c>
      <c r="J168" s="104">
        <f t="shared" si="47"/>
        <v>113.67921357984011</v>
      </c>
      <c r="K168" s="154">
        <f t="shared" si="41"/>
        <v>104.1547375047783</v>
      </c>
      <c r="L168" s="155">
        <f t="shared" si="53"/>
        <v>9.5244760750618127</v>
      </c>
      <c r="M168" s="104">
        <f t="shared" si="48"/>
        <v>0.68196644582806132</v>
      </c>
      <c r="N168" s="156">
        <f t="shared" si="49"/>
        <v>10.206442520889874</v>
      </c>
      <c r="O168" s="104">
        <v>0</v>
      </c>
      <c r="P168" s="104">
        <v>0</v>
      </c>
      <c r="Q168" s="104">
        <v>0</v>
      </c>
      <c r="R168" s="156">
        <f t="shared" si="50"/>
        <v>10.206442520889874</v>
      </c>
    </row>
    <row r="169" spans="1:18" x14ac:dyDescent="0.2">
      <c r="A169" s="86">
        <v>6</v>
      </c>
      <c r="B169" s="150">
        <f t="shared" si="45"/>
        <v>45809</v>
      </c>
      <c r="C169" s="166">
        <f t="shared" si="51"/>
        <v>45841</v>
      </c>
      <c r="D169" s="166">
        <f t="shared" si="51"/>
        <v>45862</v>
      </c>
      <c r="E169" s="174" t="s">
        <v>55</v>
      </c>
      <c r="F169" s="86">
        <v>9</v>
      </c>
      <c r="G169" s="152">
        <v>11</v>
      </c>
      <c r="H169" s="153">
        <f t="shared" si="46"/>
        <v>9.4686125004343911</v>
      </c>
      <c r="I169" s="153">
        <f t="shared" si="44"/>
        <v>10.334473961803646</v>
      </c>
      <c r="J169" s="104">
        <f t="shared" si="47"/>
        <v>113.67921357984011</v>
      </c>
      <c r="K169" s="154">
        <f t="shared" si="41"/>
        <v>104.1547375047783</v>
      </c>
      <c r="L169" s="155">
        <f t="shared" si="53"/>
        <v>9.5244760750618127</v>
      </c>
      <c r="M169" s="104">
        <f t="shared" si="48"/>
        <v>0.68196644582806132</v>
      </c>
      <c r="N169" s="156">
        <f t="shared" si="49"/>
        <v>10.206442520889874</v>
      </c>
      <c r="O169" s="104">
        <v>0</v>
      </c>
      <c r="P169" s="104">
        <v>0</v>
      </c>
      <c r="Q169" s="104">
        <v>0</v>
      </c>
      <c r="R169" s="156">
        <f t="shared" si="50"/>
        <v>10.206442520889874</v>
      </c>
    </row>
    <row r="170" spans="1:18" x14ac:dyDescent="0.2">
      <c r="A170" s="86">
        <v>7</v>
      </c>
      <c r="B170" s="150">
        <f t="shared" si="45"/>
        <v>45839</v>
      </c>
      <c r="C170" s="166">
        <f t="shared" si="51"/>
        <v>45874</v>
      </c>
      <c r="D170" s="166">
        <f t="shared" si="51"/>
        <v>45894</v>
      </c>
      <c r="E170" s="174" t="s">
        <v>55</v>
      </c>
      <c r="F170" s="86">
        <v>9</v>
      </c>
      <c r="G170" s="152">
        <v>14</v>
      </c>
      <c r="H170" s="153">
        <f t="shared" si="46"/>
        <v>9.4686125004343911</v>
      </c>
      <c r="I170" s="153">
        <f t="shared" si="44"/>
        <v>10.334473961803646</v>
      </c>
      <c r="J170" s="104">
        <f t="shared" si="47"/>
        <v>144.68263546525105</v>
      </c>
      <c r="K170" s="154">
        <f t="shared" si="41"/>
        <v>132.56057500608148</v>
      </c>
      <c r="L170" s="155">
        <f t="shared" si="53"/>
        <v>12.122060459169575</v>
      </c>
      <c r="M170" s="104">
        <f t="shared" si="48"/>
        <v>0.86795729469025973</v>
      </c>
      <c r="N170" s="156">
        <f t="shared" si="49"/>
        <v>12.990017753859835</v>
      </c>
      <c r="O170" s="104">
        <v>0</v>
      </c>
      <c r="P170" s="104">
        <v>0</v>
      </c>
      <c r="Q170" s="104">
        <v>0</v>
      </c>
      <c r="R170" s="156">
        <f t="shared" si="50"/>
        <v>12.990017753859835</v>
      </c>
    </row>
    <row r="171" spans="1:18" x14ac:dyDescent="0.2">
      <c r="A171" s="86">
        <v>8</v>
      </c>
      <c r="B171" s="150">
        <f t="shared" si="45"/>
        <v>45870</v>
      </c>
      <c r="C171" s="166">
        <f t="shared" si="51"/>
        <v>45904</v>
      </c>
      <c r="D171" s="166">
        <f t="shared" si="51"/>
        <v>45924</v>
      </c>
      <c r="E171" s="174" t="s">
        <v>55</v>
      </c>
      <c r="F171" s="86">
        <v>9</v>
      </c>
      <c r="G171" s="152">
        <v>11</v>
      </c>
      <c r="H171" s="153">
        <f t="shared" si="46"/>
        <v>9.4686125004343911</v>
      </c>
      <c r="I171" s="153">
        <f t="shared" si="44"/>
        <v>10.334473961803646</v>
      </c>
      <c r="J171" s="104">
        <f t="shared" si="47"/>
        <v>113.67921357984011</v>
      </c>
      <c r="K171" s="154">
        <f t="shared" si="41"/>
        <v>104.1547375047783</v>
      </c>
      <c r="L171" s="155">
        <f t="shared" si="53"/>
        <v>9.5244760750618127</v>
      </c>
      <c r="M171" s="104">
        <f t="shared" si="48"/>
        <v>0.68196644582806132</v>
      </c>
      <c r="N171" s="156">
        <f t="shared" si="49"/>
        <v>10.206442520889874</v>
      </c>
      <c r="O171" s="104">
        <v>0</v>
      </c>
      <c r="P171" s="104">
        <v>0</v>
      </c>
      <c r="Q171" s="104">
        <v>0</v>
      </c>
      <c r="R171" s="156">
        <f t="shared" si="50"/>
        <v>10.206442520889874</v>
      </c>
    </row>
    <row r="172" spans="1:18" x14ac:dyDescent="0.2">
      <c r="A172" s="86">
        <v>9</v>
      </c>
      <c r="B172" s="150">
        <f t="shared" si="45"/>
        <v>45901</v>
      </c>
      <c r="C172" s="166">
        <f t="shared" ref="C172:D175" si="54">+C160</f>
        <v>45933</v>
      </c>
      <c r="D172" s="166">
        <f t="shared" si="54"/>
        <v>45954</v>
      </c>
      <c r="E172" s="174" t="s">
        <v>55</v>
      </c>
      <c r="F172" s="86">
        <v>9</v>
      </c>
      <c r="G172" s="152">
        <v>12</v>
      </c>
      <c r="H172" s="153">
        <f t="shared" si="46"/>
        <v>9.4686125004343911</v>
      </c>
      <c r="I172" s="153">
        <f t="shared" si="44"/>
        <v>10.334473961803646</v>
      </c>
      <c r="J172" s="104">
        <f t="shared" si="47"/>
        <v>124.01368754164375</v>
      </c>
      <c r="K172" s="154">
        <f t="shared" si="41"/>
        <v>113.6233500052127</v>
      </c>
      <c r="L172" s="155">
        <f t="shared" si="53"/>
        <v>10.390337536431048</v>
      </c>
      <c r="M172" s="104">
        <f t="shared" si="48"/>
        <v>0.7439633954487942</v>
      </c>
      <c r="N172" s="156">
        <f t="shared" si="49"/>
        <v>11.134300931879842</v>
      </c>
      <c r="O172" s="104">
        <v>0</v>
      </c>
      <c r="P172" s="104">
        <v>0</v>
      </c>
      <c r="Q172" s="104">
        <v>0</v>
      </c>
      <c r="R172" s="156">
        <f t="shared" si="50"/>
        <v>11.134300931879842</v>
      </c>
    </row>
    <row r="173" spans="1:18" x14ac:dyDescent="0.2">
      <c r="A173" s="86">
        <v>10</v>
      </c>
      <c r="B173" s="150">
        <f t="shared" si="45"/>
        <v>45931</v>
      </c>
      <c r="C173" s="166">
        <f t="shared" si="54"/>
        <v>45966</v>
      </c>
      <c r="D173" s="166">
        <f t="shared" si="54"/>
        <v>45985</v>
      </c>
      <c r="E173" s="174" t="s">
        <v>55</v>
      </c>
      <c r="F173" s="86">
        <v>9</v>
      </c>
      <c r="G173" s="152">
        <v>13</v>
      </c>
      <c r="H173" s="153">
        <f t="shared" si="46"/>
        <v>9.4686125004343911</v>
      </c>
      <c r="I173" s="153">
        <f t="shared" si="44"/>
        <v>10.334473961803646</v>
      </c>
      <c r="J173" s="104">
        <f t="shared" si="47"/>
        <v>134.34816150344739</v>
      </c>
      <c r="K173" s="154">
        <f t="shared" si="41"/>
        <v>123.09196250564709</v>
      </c>
      <c r="L173" s="155">
        <f t="shared" si="53"/>
        <v>11.256198997800297</v>
      </c>
      <c r="M173" s="104">
        <f t="shared" si="48"/>
        <v>0.80596034506952685</v>
      </c>
      <c r="N173" s="156">
        <f t="shared" si="49"/>
        <v>12.062159342869824</v>
      </c>
      <c r="O173" s="104">
        <v>0</v>
      </c>
      <c r="P173" s="104">
        <v>0</v>
      </c>
      <c r="Q173" s="104">
        <v>0</v>
      </c>
      <c r="R173" s="156">
        <f t="shared" si="50"/>
        <v>12.062159342869824</v>
      </c>
    </row>
    <row r="174" spans="1:18" x14ac:dyDescent="0.2">
      <c r="A174" s="86">
        <v>11</v>
      </c>
      <c r="B174" s="150">
        <f t="shared" si="45"/>
        <v>45962</v>
      </c>
      <c r="C174" s="166">
        <f t="shared" si="54"/>
        <v>45994</v>
      </c>
      <c r="D174" s="166">
        <f t="shared" si="54"/>
        <v>46015</v>
      </c>
      <c r="E174" s="174" t="s">
        <v>55</v>
      </c>
      <c r="F174" s="86">
        <v>9</v>
      </c>
      <c r="G174" s="152">
        <v>10</v>
      </c>
      <c r="H174" s="153">
        <f t="shared" si="46"/>
        <v>9.4686125004343911</v>
      </c>
      <c r="I174" s="153">
        <f t="shared" si="44"/>
        <v>10.334473961803646</v>
      </c>
      <c r="J174" s="104">
        <f t="shared" si="47"/>
        <v>103.34473961803646</v>
      </c>
      <c r="K174" s="154">
        <f t="shared" si="41"/>
        <v>94.686125004343907</v>
      </c>
      <c r="L174" s="155">
        <f t="shared" si="53"/>
        <v>8.6586146136925493</v>
      </c>
      <c r="M174" s="104">
        <f t="shared" si="48"/>
        <v>0.61996949620732833</v>
      </c>
      <c r="N174" s="156">
        <f t="shared" si="49"/>
        <v>9.278584109899878</v>
      </c>
      <c r="O174" s="104">
        <v>0</v>
      </c>
      <c r="P174" s="104">
        <v>0</v>
      </c>
      <c r="Q174" s="104">
        <v>0</v>
      </c>
      <c r="R174" s="156">
        <f t="shared" si="50"/>
        <v>9.278584109899878</v>
      </c>
    </row>
    <row r="175" spans="1:18" s="170" customFormat="1" x14ac:dyDescent="0.2">
      <c r="A175" s="86">
        <v>12</v>
      </c>
      <c r="B175" s="168">
        <f t="shared" si="45"/>
        <v>45992</v>
      </c>
      <c r="C175" s="166">
        <f t="shared" si="54"/>
        <v>46028</v>
      </c>
      <c r="D175" s="166">
        <f t="shared" si="54"/>
        <v>46048</v>
      </c>
      <c r="E175" s="175" t="s">
        <v>55</v>
      </c>
      <c r="F175" s="127">
        <v>9</v>
      </c>
      <c r="G175" s="190">
        <v>7</v>
      </c>
      <c r="H175" s="158">
        <f t="shared" si="46"/>
        <v>9.4686125004343911</v>
      </c>
      <c r="I175" s="158">
        <f t="shared" si="44"/>
        <v>10.334473961803646</v>
      </c>
      <c r="J175" s="159">
        <f t="shared" si="47"/>
        <v>72.341317732625527</v>
      </c>
      <c r="K175" s="160">
        <f t="shared" si="41"/>
        <v>66.280287503040739</v>
      </c>
      <c r="L175" s="161">
        <f t="shared" si="53"/>
        <v>6.0610302295847873</v>
      </c>
      <c r="M175" s="159">
        <f t="shared" si="48"/>
        <v>0.43397864734512986</v>
      </c>
      <c r="N175" s="191">
        <f t="shared" si="49"/>
        <v>6.4950088769299175</v>
      </c>
      <c r="O175" s="159">
        <v>0</v>
      </c>
      <c r="P175" s="159">
        <v>0</v>
      </c>
      <c r="Q175" s="159">
        <v>0</v>
      </c>
      <c r="R175" s="191">
        <f t="shared" si="50"/>
        <v>6.4950088769299175</v>
      </c>
    </row>
    <row r="176" spans="1:18" x14ac:dyDescent="0.2">
      <c r="A176" s="86">
        <v>1</v>
      </c>
      <c r="B176" s="150">
        <f t="shared" si="45"/>
        <v>45658</v>
      </c>
      <c r="C176" s="163">
        <f t="shared" ref="C176:D187" si="55">+C152</f>
        <v>45693</v>
      </c>
      <c r="D176" s="163">
        <f t="shared" si="55"/>
        <v>45712</v>
      </c>
      <c r="E176" s="173" t="s">
        <v>56</v>
      </c>
      <c r="F176" s="86">
        <v>9</v>
      </c>
      <c r="G176" s="152">
        <v>0</v>
      </c>
      <c r="H176" s="153">
        <f t="shared" si="46"/>
        <v>9.4686125004343911</v>
      </c>
      <c r="I176" s="153">
        <f t="shared" si="44"/>
        <v>10.334473961803646</v>
      </c>
      <c r="J176" s="104">
        <f t="shared" si="47"/>
        <v>0</v>
      </c>
      <c r="K176" s="154">
        <f t="shared" si="41"/>
        <v>0</v>
      </c>
      <c r="L176" s="155">
        <f t="shared" si="53"/>
        <v>0</v>
      </c>
      <c r="M176" s="104">
        <f t="shared" si="48"/>
        <v>0</v>
      </c>
      <c r="N176" s="156">
        <f t="shared" si="49"/>
        <v>0</v>
      </c>
      <c r="O176" s="104">
        <v>0</v>
      </c>
      <c r="P176" s="104">
        <v>0</v>
      </c>
      <c r="Q176" s="104">
        <v>0</v>
      </c>
      <c r="R176" s="156">
        <f t="shared" si="50"/>
        <v>0</v>
      </c>
    </row>
    <row r="177" spans="1:18" x14ac:dyDescent="0.2">
      <c r="A177" s="86">
        <v>2</v>
      </c>
      <c r="B177" s="150">
        <f t="shared" si="45"/>
        <v>45689</v>
      </c>
      <c r="C177" s="166">
        <f t="shared" si="55"/>
        <v>45721</v>
      </c>
      <c r="D177" s="166">
        <f t="shared" si="55"/>
        <v>45740</v>
      </c>
      <c r="E177" s="1" t="s">
        <v>56</v>
      </c>
      <c r="F177" s="86">
        <v>9</v>
      </c>
      <c r="G177" s="152">
        <v>0</v>
      </c>
      <c r="H177" s="153">
        <f t="shared" si="46"/>
        <v>9.4686125004343911</v>
      </c>
      <c r="I177" s="153">
        <f t="shared" si="44"/>
        <v>10.334473961803646</v>
      </c>
      <c r="J177" s="104">
        <f t="shared" si="47"/>
        <v>0</v>
      </c>
      <c r="K177" s="154">
        <f t="shared" si="41"/>
        <v>0</v>
      </c>
      <c r="L177" s="155">
        <f t="shared" si="53"/>
        <v>0</v>
      </c>
      <c r="M177" s="104">
        <f t="shared" si="48"/>
        <v>0</v>
      </c>
      <c r="N177" s="156">
        <f t="shared" si="49"/>
        <v>0</v>
      </c>
      <c r="O177" s="104">
        <v>0</v>
      </c>
      <c r="P177" s="104">
        <v>0</v>
      </c>
      <c r="Q177" s="104">
        <v>0</v>
      </c>
      <c r="R177" s="156">
        <f t="shared" si="50"/>
        <v>0</v>
      </c>
    </row>
    <row r="178" spans="1:18" x14ac:dyDescent="0.2">
      <c r="A178" s="86">
        <v>3</v>
      </c>
      <c r="B178" s="150">
        <f t="shared" si="45"/>
        <v>45717</v>
      </c>
      <c r="C178" s="166">
        <f t="shared" si="55"/>
        <v>45750</v>
      </c>
      <c r="D178" s="166">
        <f t="shared" si="55"/>
        <v>45771</v>
      </c>
      <c r="E178" s="1" t="s">
        <v>56</v>
      </c>
      <c r="F178" s="86">
        <v>9</v>
      </c>
      <c r="G178" s="152">
        <v>0</v>
      </c>
      <c r="H178" s="153">
        <f t="shared" si="46"/>
        <v>9.4686125004343911</v>
      </c>
      <c r="I178" s="153">
        <f t="shared" si="44"/>
        <v>10.334473961803646</v>
      </c>
      <c r="J178" s="104">
        <f t="shared" si="47"/>
        <v>0</v>
      </c>
      <c r="K178" s="154">
        <f t="shared" si="41"/>
        <v>0</v>
      </c>
      <c r="L178" s="155">
        <f>+J178-K178</f>
        <v>0</v>
      </c>
      <c r="M178" s="104">
        <f t="shared" si="48"/>
        <v>0</v>
      </c>
      <c r="N178" s="156">
        <f t="shared" si="49"/>
        <v>0</v>
      </c>
      <c r="O178" s="104">
        <v>0</v>
      </c>
      <c r="P178" s="104">
        <v>0</v>
      </c>
      <c r="Q178" s="104">
        <v>0</v>
      </c>
      <c r="R178" s="156">
        <f t="shared" si="50"/>
        <v>0</v>
      </c>
    </row>
    <row r="179" spans="1:18" x14ac:dyDescent="0.2">
      <c r="A179" s="86">
        <v>4</v>
      </c>
      <c r="B179" s="150">
        <f t="shared" si="45"/>
        <v>45748</v>
      </c>
      <c r="C179" s="166">
        <f t="shared" si="55"/>
        <v>45782</v>
      </c>
      <c r="D179" s="166">
        <f t="shared" si="55"/>
        <v>45803</v>
      </c>
      <c r="E179" s="1" t="s">
        <v>56</v>
      </c>
      <c r="F179" s="86">
        <v>9</v>
      </c>
      <c r="G179" s="152">
        <v>0</v>
      </c>
      <c r="H179" s="153">
        <f t="shared" si="46"/>
        <v>9.4686125004343911</v>
      </c>
      <c r="I179" s="153">
        <f t="shared" si="44"/>
        <v>10.334473961803646</v>
      </c>
      <c r="J179" s="104">
        <f t="shared" si="47"/>
        <v>0</v>
      </c>
      <c r="K179" s="154">
        <f t="shared" si="41"/>
        <v>0</v>
      </c>
      <c r="L179" s="155">
        <f t="shared" ref="L179:L189" si="56">+J179-K179</f>
        <v>0</v>
      </c>
      <c r="M179" s="104">
        <f t="shared" si="48"/>
        <v>0</v>
      </c>
      <c r="N179" s="156">
        <f t="shared" si="49"/>
        <v>0</v>
      </c>
      <c r="O179" s="104">
        <v>0</v>
      </c>
      <c r="P179" s="104">
        <v>0</v>
      </c>
      <c r="Q179" s="104">
        <v>0</v>
      </c>
      <c r="R179" s="156">
        <f t="shared" si="50"/>
        <v>0</v>
      </c>
    </row>
    <row r="180" spans="1:18" x14ac:dyDescent="0.2">
      <c r="A180" s="86">
        <v>5</v>
      </c>
      <c r="B180" s="150">
        <f t="shared" si="45"/>
        <v>45778</v>
      </c>
      <c r="C180" s="166">
        <f t="shared" si="55"/>
        <v>45812</v>
      </c>
      <c r="D180" s="166">
        <f t="shared" si="55"/>
        <v>45832</v>
      </c>
      <c r="E180" s="1" t="s">
        <v>56</v>
      </c>
      <c r="F180" s="86">
        <v>9</v>
      </c>
      <c r="G180" s="152">
        <v>0</v>
      </c>
      <c r="H180" s="153">
        <f t="shared" si="46"/>
        <v>9.4686125004343911</v>
      </c>
      <c r="I180" s="153">
        <f t="shared" ref="I180:I211" si="57">$J$3</f>
        <v>10.334473961803646</v>
      </c>
      <c r="J180" s="104">
        <f t="shared" si="47"/>
        <v>0</v>
      </c>
      <c r="K180" s="154">
        <f t="shared" si="41"/>
        <v>0</v>
      </c>
      <c r="L180" s="155">
        <f t="shared" si="56"/>
        <v>0</v>
      </c>
      <c r="M180" s="104">
        <f t="shared" si="48"/>
        <v>0</v>
      </c>
      <c r="N180" s="156">
        <f t="shared" si="49"/>
        <v>0</v>
      </c>
      <c r="O180" s="104">
        <v>0</v>
      </c>
      <c r="P180" s="104">
        <v>0</v>
      </c>
      <c r="Q180" s="104">
        <v>0</v>
      </c>
      <c r="R180" s="156">
        <f t="shared" si="50"/>
        <v>0</v>
      </c>
    </row>
    <row r="181" spans="1:18" x14ac:dyDescent="0.2">
      <c r="A181" s="86">
        <v>6</v>
      </c>
      <c r="B181" s="150">
        <f t="shared" si="45"/>
        <v>45809</v>
      </c>
      <c r="C181" s="166">
        <f t="shared" si="55"/>
        <v>45841</v>
      </c>
      <c r="D181" s="166">
        <f t="shared" si="55"/>
        <v>45862</v>
      </c>
      <c r="E181" s="1" t="s">
        <v>56</v>
      </c>
      <c r="F181" s="86">
        <v>9</v>
      </c>
      <c r="G181" s="152">
        <v>0</v>
      </c>
      <c r="H181" s="153">
        <f t="shared" si="46"/>
        <v>9.4686125004343911</v>
      </c>
      <c r="I181" s="153">
        <f t="shared" si="57"/>
        <v>10.334473961803646</v>
      </c>
      <c r="J181" s="104">
        <f t="shared" si="47"/>
        <v>0</v>
      </c>
      <c r="K181" s="154">
        <f t="shared" si="41"/>
        <v>0</v>
      </c>
      <c r="L181" s="155">
        <f t="shared" si="56"/>
        <v>0</v>
      </c>
      <c r="M181" s="104">
        <f t="shared" si="48"/>
        <v>0</v>
      </c>
      <c r="N181" s="156">
        <f t="shared" si="49"/>
        <v>0</v>
      </c>
      <c r="O181" s="104">
        <v>0</v>
      </c>
      <c r="P181" s="104">
        <v>0</v>
      </c>
      <c r="Q181" s="104">
        <v>0</v>
      </c>
      <c r="R181" s="156">
        <f t="shared" si="50"/>
        <v>0</v>
      </c>
    </row>
    <row r="182" spans="1:18" x14ac:dyDescent="0.2">
      <c r="A182" s="86">
        <v>7</v>
      </c>
      <c r="B182" s="150">
        <f t="shared" si="45"/>
        <v>45839</v>
      </c>
      <c r="C182" s="166">
        <f t="shared" si="55"/>
        <v>45874</v>
      </c>
      <c r="D182" s="166">
        <f t="shared" si="55"/>
        <v>45894</v>
      </c>
      <c r="E182" s="1" t="s">
        <v>56</v>
      </c>
      <c r="F182" s="86">
        <v>9</v>
      </c>
      <c r="G182" s="152">
        <v>0</v>
      </c>
      <c r="H182" s="153">
        <f t="shared" si="46"/>
        <v>9.4686125004343911</v>
      </c>
      <c r="I182" s="153">
        <f t="shared" si="57"/>
        <v>10.334473961803646</v>
      </c>
      <c r="J182" s="104">
        <f t="shared" si="47"/>
        <v>0</v>
      </c>
      <c r="K182" s="154">
        <f t="shared" si="41"/>
        <v>0</v>
      </c>
      <c r="L182" s="155">
        <f t="shared" si="56"/>
        <v>0</v>
      </c>
      <c r="M182" s="104">
        <f t="shared" si="48"/>
        <v>0</v>
      </c>
      <c r="N182" s="156">
        <f t="shared" si="49"/>
        <v>0</v>
      </c>
      <c r="O182" s="104">
        <v>0</v>
      </c>
      <c r="P182" s="104">
        <v>0</v>
      </c>
      <c r="Q182" s="104">
        <v>0</v>
      </c>
      <c r="R182" s="156">
        <f t="shared" si="50"/>
        <v>0</v>
      </c>
    </row>
    <row r="183" spans="1:18" x14ac:dyDescent="0.2">
      <c r="A183" s="86">
        <v>8</v>
      </c>
      <c r="B183" s="150">
        <f t="shared" si="45"/>
        <v>45870</v>
      </c>
      <c r="C183" s="166">
        <f t="shared" si="55"/>
        <v>45904</v>
      </c>
      <c r="D183" s="166">
        <f t="shared" si="55"/>
        <v>45924</v>
      </c>
      <c r="E183" s="1" t="s">
        <v>56</v>
      </c>
      <c r="F183" s="86">
        <v>9</v>
      </c>
      <c r="G183" s="152">
        <v>0</v>
      </c>
      <c r="H183" s="153">
        <f t="shared" si="46"/>
        <v>9.4686125004343911</v>
      </c>
      <c r="I183" s="153">
        <f t="shared" si="57"/>
        <v>10.334473961803646</v>
      </c>
      <c r="J183" s="104">
        <f t="shared" si="47"/>
        <v>0</v>
      </c>
      <c r="K183" s="154">
        <f t="shared" si="41"/>
        <v>0</v>
      </c>
      <c r="L183" s="155">
        <f t="shared" si="56"/>
        <v>0</v>
      </c>
      <c r="M183" s="104">
        <f t="shared" si="48"/>
        <v>0</v>
      </c>
      <c r="N183" s="156">
        <f t="shared" si="49"/>
        <v>0</v>
      </c>
      <c r="O183" s="104">
        <v>0</v>
      </c>
      <c r="P183" s="104">
        <v>0</v>
      </c>
      <c r="Q183" s="104">
        <v>0</v>
      </c>
      <c r="R183" s="156">
        <f t="shared" si="50"/>
        <v>0</v>
      </c>
    </row>
    <row r="184" spans="1:18" x14ac:dyDescent="0.2">
      <c r="A184" s="86">
        <v>9</v>
      </c>
      <c r="B184" s="150">
        <f t="shared" si="45"/>
        <v>45901</v>
      </c>
      <c r="C184" s="166">
        <f t="shared" si="55"/>
        <v>45933</v>
      </c>
      <c r="D184" s="166">
        <f t="shared" si="55"/>
        <v>45954</v>
      </c>
      <c r="E184" s="1" t="s">
        <v>56</v>
      </c>
      <c r="F184" s="86">
        <v>9</v>
      </c>
      <c r="G184" s="152">
        <v>0</v>
      </c>
      <c r="H184" s="153">
        <f t="shared" si="46"/>
        <v>9.4686125004343911</v>
      </c>
      <c r="I184" s="153">
        <f t="shared" si="57"/>
        <v>10.334473961803646</v>
      </c>
      <c r="J184" s="104">
        <f t="shared" si="47"/>
        <v>0</v>
      </c>
      <c r="K184" s="154">
        <f t="shared" si="41"/>
        <v>0</v>
      </c>
      <c r="L184" s="155">
        <f t="shared" si="56"/>
        <v>0</v>
      </c>
      <c r="M184" s="104">
        <f t="shared" si="48"/>
        <v>0</v>
      </c>
      <c r="N184" s="156">
        <f t="shared" si="49"/>
        <v>0</v>
      </c>
      <c r="O184" s="104">
        <v>0</v>
      </c>
      <c r="P184" s="104">
        <v>0</v>
      </c>
      <c r="Q184" s="104">
        <v>0</v>
      </c>
      <c r="R184" s="156">
        <f t="shared" si="50"/>
        <v>0</v>
      </c>
    </row>
    <row r="185" spans="1:18" x14ac:dyDescent="0.2">
      <c r="A185" s="86">
        <v>10</v>
      </c>
      <c r="B185" s="150">
        <f t="shared" si="45"/>
        <v>45931</v>
      </c>
      <c r="C185" s="166">
        <f t="shared" si="55"/>
        <v>45966</v>
      </c>
      <c r="D185" s="166">
        <f t="shared" si="55"/>
        <v>45985</v>
      </c>
      <c r="E185" s="1" t="s">
        <v>56</v>
      </c>
      <c r="F185" s="86">
        <v>9</v>
      </c>
      <c r="G185" s="152">
        <v>0</v>
      </c>
      <c r="H185" s="153">
        <f t="shared" si="46"/>
        <v>9.4686125004343911</v>
      </c>
      <c r="I185" s="153">
        <f t="shared" si="57"/>
        <v>10.334473961803646</v>
      </c>
      <c r="J185" s="104">
        <f t="shared" si="47"/>
        <v>0</v>
      </c>
      <c r="K185" s="154">
        <f t="shared" si="41"/>
        <v>0</v>
      </c>
      <c r="L185" s="155">
        <f t="shared" si="56"/>
        <v>0</v>
      </c>
      <c r="M185" s="104">
        <f t="shared" si="48"/>
        <v>0</v>
      </c>
      <c r="N185" s="156">
        <f t="shared" si="49"/>
        <v>0</v>
      </c>
      <c r="O185" s="104">
        <v>0</v>
      </c>
      <c r="P185" s="104">
        <v>0</v>
      </c>
      <c r="Q185" s="104">
        <v>0</v>
      </c>
      <c r="R185" s="156">
        <f t="shared" si="50"/>
        <v>0</v>
      </c>
    </row>
    <row r="186" spans="1:18" x14ac:dyDescent="0.2">
      <c r="A186" s="86">
        <v>11</v>
      </c>
      <c r="B186" s="150">
        <f t="shared" si="45"/>
        <v>45962</v>
      </c>
      <c r="C186" s="166">
        <f t="shared" si="55"/>
        <v>45994</v>
      </c>
      <c r="D186" s="166">
        <f t="shared" si="55"/>
        <v>46015</v>
      </c>
      <c r="E186" s="1" t="s">
        <v>56</v>
      </c>
      <c r="F186" s="86">
        <v>9</v>
      </c>
      <c r="G186" s="152">
        <v>0</v>
      </c>
      <c r="H186" s="153">
        <f t="shared" si="46"/>
        <v>9.4686125004343911</v>
      </c>
      <c r="I186" s="153">
        <f t="shared" si="57"/>
        <v>10.334473961803646</v>
      </c>
      <c r="J186" s="104">
        <f t="shared" si="47"/>
        <v>0</v>
      </c>
      <c r="K186" s="154">
        <f t="shared" si="41"/>
        <v>0</v>
      </c>
      <c r="L186" s="155">
        <f t="shared" si="56"/>
        <v>0</v>
      </c>
      <c r="M186" s="104">
        <f t="shared" si="48"/>
        <v>0</v>
      </c>
      <c r="N186" s="156">
        <f t="shared" si="49"/>
        <v>0</v>
      </c>
      <c r="O186" s="104">
        <v>0</v>
      </c>
      <c r="P186" s="104">
        <v>0</v>
      </c>
      <c r="Q186" s="104">
        <v>0</v>
      </c>
      <c r="R186" s="156">
        <f t="shared" si="50"/>
        <v>0</v>
      </c>
    </row>
    <row r="187" spans="1:18" s="170" customFormat="1" x14ac:dyDescent="0.2">
      <c r="A187" s="86">
        <v>12</v>
      </c>
      <c r="B187" s="168">
        <f t="shared" si="45"/>
        <v>45992</v>
      </c>
      <c r="C187" s="166">
        <f t="shared" si="55"/>
        <v>46028</v>
      </c>
      <c r="D187" s="166">
        <f t="shared" si="55"/>
        <v>46048</v>
      </c>
      <c r="E187" s="169" t="s">
        <v>56</v>
      </c>
      <c r="F187" s="127">
        <v>9</v>
      </c>
      <c r="G187" s="190">
        <v>0</v>
      </c>
      <c r="H187" s="158">
        <f t="shared" si="46"/>
        <v>9.4686125004343911</v>
      </c>
      <c r="I187" s="158">
        <f t="shared" si="57"/>
        <v>10.334473961803646</v>
      </c>
      <c r="J187" s="159">
        <f t="shared" si="47"/>
        <v>0</v>
      </c>
      <c r="K187" s="160">
        <f t="shared" si="41"/>
        <v>0</v>
      </c>
      <c r="L187" s="161">
        <f t="shared" si="56"/>
        <v>0</v>
      </c>
      <c r="M187" s="159">
        <f t="shared" si="48"/>
        <v>0</v>
      </c>
      <c r="N187" s="191">
        <f t="shared" si="49"/>
        <v>0</v>
      </c>
      <c r="O187" s="159">
        <v>0</v>
      </c>
      <c r="P187" s="159">
        <v>0</v>
      </c>
      <c r="Q187" s="159">
        <v>0</v>
      </c>
      <c r="R187" s="191">
        <f t="shared" si="50"/>
        <v>0</v>
      </c>
    </row>
    <row r="188" spans="1:18" x14ac:dyDescent="0.2">
      <c r="A188" s="86">
        <v>1</v>
      </c>
      <c r="B188" s="150">
        <f t="shared" si="45"/>
        <v>45658</v>
      </c>
      <c r="C188" s="163">
        <f t="shared" ref="C188:D211" si="58">+C176</f>
        <v>45693</v>
      </c>
      <c r="D188" s="163">
        <f t="shared" si="58"/>
        <v>45712</v>
      </c>
      <c r="E188" s="151" t="s">
        <v>57</v>
      </c>
      <c r="F188" s="86">
        <v>9</v>
      </c>
      <c r="G188" s="152">
        <v>37</v>
      </c>
      <c r="H188" s="153">
        <f t="shared" si="46"/>
        <v>9.4686125004343911</v>
      </c>
      <c r="I188" s="153">
        <f t="shared" si="57"/>
        <v>10.334473961803646</v>
      </c>
      <c r="J188" s="104">
        <f t="shared" si="47"/>
        <v>382.37553658673488</v>
      </c>
      <c r="K188" s="154">
        <f t="shared" si="41"/>
        <v>350.33866251607247</v>
      </c>
      <c r="L188" s="155">
        <f t="shared" si="56"/>
        <v>32.036874070662407</v>
      </c>
      <c r="M188" s="104">
        <f t="shared" si="48"/>
        <v>2.2938871359671151</v>
      </c>
      <c r="N188" s="156">
        <f t="shared" si="49"/>
        <v>34.330761206629525</v>
      </c>
      <c r="O188" s="104">
        <v>0</v>
      </c>
      <c r="P188" s="104">
        <v>0</v>
      </c>
      <c r="Q188" s="104">
        <v>0</v>
      </c>
      <c r="R188" s="156">
        <f t="shared" si="50"/>
        <v>34.330761206629525</v>
      </c>
    </row>
    <row r="189" spans="1:18" x14ac:dyDescent="0.2">
      <c r="A189" s="86">
        <v>2</v>
      </c>
      <c r="B189" s="150">
        <f t="shared" si="45"/>
        <v>45689</v>
      </c>
      <c r="C189" s="166">
        <f t="shared" si="58"/>
        <v>45721</v>
      </c>
      <c r="D189" s="166">
        <f t="shared" si="58"/>
        <v>45740</v>
      </c>
      <c r="E189" s="157" t="s">
        <v>57</v>
      </c>
      <c r="F189" s="86">
        <v>9</v>
      </c>
      <c r="G189" s="152">
        <v>42</v>
      </c>
      <c r="H189" s="153">
        <f t="shared" si="46"/>
        <v>9.4686125004343911</v>
      </c>
      <c r="I189" s="153">
        <f t="shared" si="57"/>
        <v>10.334473961803646</v>
      </c>
      <c r="J189" s="104">
        <f t="shared" si="47"/>
        <v>434.0479063957531</v>
      </c>
      <c r="K189" s="154">
        <f t="shared" si="41"/>
        <v>397.68172501824444</v>
      </c>
      <c r="L189" s="155">
        <f t="shared" si="56"/>
        <v>36.366181377508667</v>
      </c>
      <c r="M189" s="104">
        <f t="shared" si="48"/>
        <v>2.6038718840707791</v>
      </c>
      <c r="N189" s="156">
        <f t="shared" si="49"/>
        <v>38.970053261579444</v>
      </c>
      <c r="O189" s="104">
        <v>0</v>
      </c>
      <c r="P189" s="104">
        <v>0</v>
      </c>
      <c r="Q189" s="104">
        <v>0</v>
      </c>
      <c r="R189" s="156">
        <f t="shared" si="50"/>
        <v>38.970053261579444</v>
      </c>
    </row>
    <row r="190" spans="1:18" x14ac:dyDescent="0.2">
      <c r="A190" s="86">
        <v>3</v>
      </c>
      <c r="B190" s="150">
        <f t="shared" si="45"/>
        <v>45717</v>
      </c>
      <c r="C190" s="166">
        <f t="shared" si="58"/>
        <v>45750</v>
      </c>
      <c r="D190" s="166">
        <f t="shared" si="58"/>
        <v>45771</v>
      </c>
      <c r="E190" s="157" t="s">
        <v>57</v>
      </c>
      <c r="F190" s="86">
        <v>9</v>
      </c>
      <c r="G190" s="152">
        <v>30</v>
      </c>
      <c r="H190" s="153">
        <f t="shared" si="46"/>
        <v>9.4686125004343911</v>
      </c>
      <c r="I190" s="153">
        <f t="shared" si="57"/>
        <v>10.334473961803646</v>
      </c>
      <c r="J190" s="104">
        <f t="shared" si="47"/>
        <v>310.03421885410938</v>
      </c>
      <c r="K190" s="154">
        <f t="shared" si="41"/>
        <v>284.05837501303171</v>
      </c>
      <c r="L190" s="155">
        <f>+J190-K190</f>
        <v>25.975843841077676</v>
      </c>
      <c r="M190" s="104">
        <f t="shared" si="48"/>
        <v>1.8599084886219852</v>
      </c>
      <c r="N190" s="156">
        <f t="shared" si="49"/>
        <v>27.835752329699663</v>
      </c>
      <c r="O190" s="104">
        <v>0</v>
      </c>
      <c r="P190" s="104">
        <v>0</v>
      </c>
      <c r="Q190" s="104">
        <v>0</v>
      </c>
      <c r="R190" s="156">
        <f t="shared" si="50"/>
        <v>27.835752329699663</v>
      </c>
    </row>
    <row r="191" spans="1:18" x14ac:dyDescent="0.2">
      <c r="A191" s="86">
        <v>4</v>
      </c>
      <c r="B191" s="150">
        <f t="shared" si="45"/>
        <v>45748</v>
      </c>
      <c r="C191" s="166">
        <f t="shared" si="58"/>
        <v>45782</v>
      </c>
      <c r="D191" s="166">
        <f t="shared" si="58"/>
        <v>45803</v>
      </c>
      <c r="E191" s="1" t="s">
        <v>57</v>
      </c>
      <c r="F191" s="86">
        <v>9</v>
      </c>
      <c r="G191" s="152">
        <v>32</v>
      </c>
      <c r="H191" s="153">
        <f t="shared" si="46"/>
        <v>9.4686125004343911</v>
      </c>
      <c r="I191" s="153">
        <f t="shared" si="57"/>
        <v>10.334473961803646</v>
      </c>
      <c r="J191" s="104">
        <f t="shared" si="47"/>
        <v>330.70316677771666</v>
      </c>
      <c r="K191" s="154">
        <f t="shared" si="41"/>
        <v>302.99560001390051</v>
      </c>
      <c r="L191" s="155">
        <f t="shared" ref="L191:L201" si="59">+J191-K191</f>
        <v>27.707566763816146</v>
      </c>
      <c r="M191" s="104">
        <f t="shared" si="48"/>
        <v>1.9839023878634507</v>
      </c>
      <c r="N191" s="156">
        <f t="shared" si="49"/>
        <v>29.691469151679598</v>
      </c>
      <c r="O191" s="104">
        <v>0</v>
      </c>
      <c r="P191" s="104">
        <v>0</v>
      </c>
      <c r="Q191" s="104">
        <v>0</v>
      </c>
      <c r="R191" s="156">
        <f t="shared" si="50"/>
        <v>29.691469151679598</v>
      </c>
    </row>
    <row r="192" spans="1:18" x14ac:dyDescent="0.2">
      <c r="A192" s="86">
        <v>5</v>
      </c>
      <c r="B192" s="150">
        <f t="shared" si="45"/>
        <v>45778</v>
      </c>
      <c r="C192" s="166">
        <f t="shared" si="58"/>
        <v>45812</v>
      </c>
      <c r="D192" s="166">
        <f t="shared" si="58"/>
        <v>45832</v>
      </c>
      <c r="E192" s="1" t="s">
        <v>57</v>
      </c>
      <c r="F192" s="86">
        <v>9</v>
      </c>
      <c r="G192" s="152">
        <v>39</v>
      </c>
      <c r="H192" s="153">
        <f t="shared" si="46"/>
        <v>9.4686125004343911</v>
      </c>
      <c r="I192" s="153">
        <f t="shared" si="57"/>
        <v>10.334473961803646</v>
      </c>
      <c r="J192" s="104">
        <f t="shared" si="47"/>
        <v>403.04448451034216</v>
      </c>
      <c r="K192" s="154">
        <f t="shared" si="41"/>
        <v>369.27588751694122</v>
      </c>
      <c r="L192" s="155">
        <f t="shared" si="59"/>
        <v>33.768596993400934</v>
      </c>
      <c r="M192" s="104">
        <f t="shared" si="48"/>
        <v>2.4178810352085809</v>
      </c>
      <c r="N192" s="156">
        <f t="shared" si="49"/>
        <v>36.186478028609514</v>
      </c>
      <c r="O192" s="104">
        <v>0</v>
      </c>
      <c r="P192" s="104">
        <v>0</v>
      </c>
      <c r="Q192" s="104">
        <v>0</v>
      </c>
      <c r="R192" s="156">
        <f t="shared" si="50"/>
        <v>36.186478028609514</v>
      </c>
    </row>
    <row r="193" spans="1:18" x14ac:dyDescent="0.2">
      <c r="A193" s="86">
        <v>6</v>
      </c>
      <c r="B193" s="150">
        <f t="shared" si="45"/>
        <v>45809</v>
      </c>
      <c r="C193" s="166">
        <f t="shared" si="58"/>
        <v>45841</v>
      </c>
      <c r="D193" s="166">
        <f t="shared" si="58"/>
        <v>45862</v>
      </c>
      <c r="E193" s="1" t="s">
        <v>57</v>
      </c>
      <c r="F193" s="86">
        <v>9</v>
      </c>
      <c r="G193" s="152">
        <v>47</v>
      </c>
      <c r="H193" s="153">
        <f t="shared" si="46"/>
        <v>9.4686125004343911</v>
      </c>
      <c r="I193" s="153">
        <f t="shared" si="57"/>
        <v>10.334473961803646</v>
      </c>
      <c r="J193" s="104">
        <f t="shared" si="47"/>
        <v>485.72027620477132</v>
      </c>
      <c r="K193" s="154">
        <f t="shared" si="41"/>
        <v>445.0247875204164</v>
      </c>
      <c r="L193" s="155">
        <f t="shared" si="59"/>
        <v>40.695488684354927</v>
      </c>
      <c r="M193" s="104">
        <f t="shared" si="48"/>
        <v>2.9138566321744435</v>
      </c>
      <c r="N193" s="156">
        <f t="shared" si="49"/>
        <v>43.609345316529371</v>
      </c>
      <c r="O193" s="104">
        <v>0</v>
      </c>
      <c r="P193" s="104">
        <v>0</v>
      </c>
      <c r="Q193" s="104">
        <v>0</v>
      </c>
      <c r="R193" s="156">
        <f t="shared" si="50"/>
        <v>43.609345316529371</v>
      </c>
    </row>
    <row r="194" spans="1:18" x14ac:dyDescent="0.2">
      <c r="A194" s="86">
        <v>7</v>
      </c>
      <c r="B194" s="150">
        <f t="shared" si="45"/>
        <v>45839</v>
      </c>
      <c r="C194" s="166">
        <f t="shared" si="58"/>
        <v>45874</v>
      </c>
      <c r="D194" s="166">
        <f t="shared" si="58"/>
        <v>45894</v>
      </c>
      <c r="E194" s="1" t="s">
        <v>57</v>
      </c>
      <c r="F194" s="86">
        <v>9</v>
      </c>
      <c r="G194" s="152">
        <v>53</v>
      </c>
      <c r="H194" s="153">
        <f t="shared" si="46"/>
        <v>9.4686125004343911</v>
      </c>
      <c r="I194" s="153">
        <f t="shared" si="57"/>
        <v>10.334473961803646</v>
      </c>
      <c r="J194" s="104">
        <f t="shared" si="47"/>
        <v>547.72711997559327</v>
      </c>
      <c r="K194" s="154">
        <f t="shared" si="41"/>
        <v>501.8364625230227</v>
      </c>
      <c r="L194" s="155">
        <f t="shared" si="59"/>
        <v>45.890657452570565</v>
      </c>
      <c r="M194" s="104">
        <f t="shared" si="48"/>
        <v>3.2858383298988407</v>
      </c>
      <c r="N194" s="156">
        <f t="shared" si="49"/>
        <v>49.176495782469402</v>
      </c>
      <c r="O194" s="104">
        <v>0</v>
      </c>
      <c r="P194" s="104">
        <v>0</v>
      </c>
      <c r="Q194" s="104">
        <v>0</v>
      </c>
      <c r="R194" s="156">
        <f t="shared" si="50"/>
        <v>49.176495782469402</v>
      </c>
    </row>
    <row r="195" spans="1:18" x14ac:dyDescent="0.2">
      <c r="A195" s="86">
        <v>8</v>
      </c>
      <c r="B195" s="150">
        <f t="shared" si="45"/>
        <v>45870</v>
      </c>
      <c r="C195" s="166">
        <f t="shared" si="58"/>
        <v>45904</v>
      </c>
      <c r="D195" s="166">
        <f t="shared" si="58"/>
        <v>45924</v>
      </c>
      <c r="E195" s="1" t="s">
        <v>57</v>
      </c>
      <c r="F195" s="86">
        <v>9</v>
      </c>
      <c r="G195" s="152">
        <v>52</v>
      </c>
      <c r="H195" s="153">
        <f t="shared" si="46"/>
        <v>9.4686125004343911</v>
      </c>
      <c r="I195" s="153">
        <f t="shared" si="57"/>
        <v>10.334473961803646</v>
      </c>
      <c r="J195" s="104">
        <f t="shared" si="47"/>
        <v>537.39264601378954</v>
      </c>
      <c r="K195" s="154">
        <f t="shared" si="41"/>
        <v>492.36785002258836</v>
      </c>
      <c r="L195" s="155">
        <f t="shared" si="59"/>
        <v>45.024795991201188</v>
      </c>
      <c r="M195" s="104">
        <f t="shared" si="48"/>
        <v>3.2238413802781074</v>
      </c>
      <c r="N195" s="156">
        <f t="shared" si="49"/>
        <v>48.248637371479298</v>
      </c>
      <c r="O195" s="104">
        <v>0</v>
      </c>
      <c r="P195" s="104">
        <v>0</v>
      </c>
      <c r="Q195" s="104">
        <v>0</v>
      </c>
      <c r="R195" s="156">
        <f t="shared" si="50"/>
        <v>48.248637371479298</v>
      </c>
    </row>
    <row r="196" spans="1:18" x14ac:dyDescent="0.2">
      <c r="A196" s="86">
        <v>9</v>
      </c>
      <c r="B196" s="150">
        <f t="shared" si="45"/>
        <v>45901</v>
      </c>
      <c r="C196" s="166">
        <f t="shared" si="58"/>
        <v>45933</v>
      </c>
      <c r="D196" s="166">
        <f t="shared" si="58"/>
        <v>45954</v>
      </c>
      <c r="E196" s="1" t="s">
        <v>57</v>
      </c>
      <c r="F196" s="86">
        <v>9</v>
      </c>
      <c r="G196" s="152">
        <v>45</v>
      </c>
      <c r="H196" s="153">
        <f t="shared" si="46"/>
        <v>9.4686125004343911</v>
      </c>
      <c r="I196" s="153">
        <f t="shared" si="57"/>
        <v>10.334473961803646</v>
      </c>
      <c r="J196" s="104">
        <f t="shared" si="47"/>
        <v>465.05132828116405</v>
      </c>
      <c r="K196" s="154">
        <f t="shared" si="41"/>
        <v>426.08756251954759</v>
      </c>
      <c r="L196" s="155">
        <f t="shared" si="59"/>
        <v>38.963765761616457</v>
      </c>
      <c r="M196" s="104">
        <f t="shared" si="48"/>
        <v>2.7898627329329777</v>
      </c>
      <c r="N196" s="156">
        <f t="shared" si="49"/>
        <v>41.753628494549432</v>
      </c>
      <c r="O196" s="104">
        <v>0</v>
      </c>
      <c r="P196" s="104">
        <v>0</v>
      </c>
      <c r="Q196" s="104">
        <v>0</v>
      </c>
      <c r="R196" s="156">
        <f t="shared" si="50"/>
        <v>41.753628494549432</v>
      </c>
    </row>
    <row r="197" spans="1:18" x14ac:dyDescent="0.2">
      <c r="A197" s="86">
        <v>10</v>
      </c>
      <c r="B197" s="150">
        <f t="shared" si="45"/>
        <v>45931</v>
      </c>
      <c r="C197" s="166">
        <f t="shared" si="58"/>
        <v>45966</v>
      </c>
      <c r="D197" s="166">
        <f t="shared" si="58"/>
        <v>45985</v>
      </c>
      <c r="E197" s="1" t="s">
        <v>57</v>
      </c>
      <c r="F197" s="86">
        <v>9</v>
      </c>
      <c r="G197" s="152">
        <v>41</v>
      </c>
      <c r="H197" s="153">
        <f t="shared" si="46"/>
        <v>9.4686125004343911</v>
      </c>
      <c r="I197" s="153">
        <f t="shared" si="57"/>
        <v>10.334473961803646</v>
      </c>
      <c r="J197" s="104">
        <f t="shared" si="47"/>
        <v>423.71343243394949</v>
      </c>
      <c r="K197" s="154">
        <f t="shared" si="41"/>
        <v>388.21311251781003</v>
      </c>
      <c r="L197" s="155">
        <f t="shared" si="59"/>
        <v>35.50031991613946</v>
      </c>
      <c r="M197" s="104">
        <f t="shared" si="48"/>
        <v>2.5418749344500466</v>
      </c>
      <c r="N197" s="156">
        <f t="shared" si="49"/>
        <v>38.04219485058951</v>
      </c>
      <c r="O197" s="104">
        <v>0</v>
      </c>
      <c r="P197" s="104">
        <v>0</v>
      </c>
      <c r="Q197" s="104">
        <v>0</v>
      </c>
      <c r="R197" s="156">
        <f t="shared" si="50"/>
        <v>38.04219485058951</v>
      </c>
    </row>
    <row r="198" spans="1:18" x14ac:dyDescent="0.2">
      <c r="A198" s="86">
        <v>11</v>
      </c>
      <c r="B198" s="150">
        <f t="shared" si="45"/>
        <v>45962</v>
      </c>
      <c r="C198" s="166">
        <f t="shared" si="58"/>
        <v>45994</v>
      </c>
      <c r="D198" s="166">
        <f t="shared" si="58"/>
        <v>46015</v>
      </c>
      <c r="E198" s="1" t="s">
        <v>57</v>
      </c>
      <c r="F198" s="86">
        <v>9</v>
      </c>
      <c r="G198" s="152">
        <v>29</v>
      </c>
      <c r="H198" s="153">
        <f t="shared" si="46"/>
        <v>9.4686125004343911</v>
      </c>
      <c r="I198" s="153">
        <f t="shared" si="57"/>
        <v>10.334473961803646</v>
      </c>
      <c r="J198" s="104">
        <f t="shared" si="47"/>
        <v>299.69974489230572</v>
      </c>
      <c r="K198" s="154">
        <f t="shared" ref="K198:K209" si="60">+$G198*H198</f>
        <v>274.58976251259736</v>
      </c>
      <c r="L198" s="155">
        <f t="shared" si="59"/>
        <v>25.109982379708356</v>
      </c>
      <c r="M198" s="104">
        <f t="shared" si="48"/>
        <v>1.7979115390012526</v>
      </c>
      <c r="N198" s="156">
        <f t="shared" si="49"/>
        <v>26.907893918709608</v>
      </c>
      <c r="O198" s="104">
        <v>0</v>
      </c>
      <c r="P198" s="104">
        <v>0</v>
      </c>
      <c r="Q198" s="104">
        <v>0</v>
      </c>
      <c r="R198" s="156">
        <f t="shared" si="50"/>
        <v>26.907893918709608</v>
      </c>
    </row>
    <row r="199" spans="1:18" s="170" customFormat="1" x14ac:dyDescent="0.2">
      <c r="A199" s="86">
        <v>12</v>
      </c>
      <c r="B199" s="168">
        <f t="shared" si="45"/>
        <v>45992</v>
      </c>
      <c r="C199" s="166">
        <f t="shared" si="58"/>
        <v>46028</v>
      </c>
      <c r="D199" s="166">
        <f t="shared" si="58"/>
        <v>46048</v>
      </c>
      <c r="E199" s="169" t="s">
        <v>57</v>
      </c>
      <c r="F199" s="127">
        <v>9</v>
      </c>
      <c r="G199" s="190">
        <v>36</v>
      </c>
      <c r="H199" s="158">
        <f t="shared" si="46"/>
        <v>9.4686125004343911</v>
      </c>
      <c r="I199" s="158">
        <f t="shared" si="57"/>
        <v>10.334473961803646</v>
      </c>
      <c r="J199" s="159">
        <f t="shared" si="47"/>
        <v>372.04106262493121</v>
      </c>
      <c r="K199" s="160">
        <f t="shared" si="60"/>
        <v>340.87005001563807</v>
      </c>
      <c r="L199" s="161">
        <f t="shared" si="59"/>
        <v>31.171012609293143</v>
      </c>
      <c r="M199" s="159">
        <f t="shared" si="48"/>
        <v>2.2318901863463823</v>
      </c>
      <c r="N199" s="191">
        <f t="shared" si="49"/>
        <v>33.402902795639527</v>
      </c>
      <c r="O199" s="159">
        <v>0</v>
      </c>
      <c r="P199" s="159">
        <v>0</v>
      </c>
      <c r="Q199" s="159">
        <v>0</v>
      </c>
      <c r="R199" s="191">
        <f t="shared" si="50"/>
        <v>33.402902795639527</v>
      </c>
    </row>
    <row r="200" spans="1:18" x14ac:dyDescent="0.2">
      <c r="A200" s="86">
        <v>1</v>
      </c>
      <c r="B200" s="150">
        <f t="shared" si="45"/>
        <v>45658</v>
      </c>
      <c r="C200" s="163">
        <f t="shared" si="58"/>
        <v>45693</v>
      </c>
      <c r="D200" s="163">
        <f t="shared" si="58"/>
        <v>45712</v>
      </c>
      <c r="E200" s="151" t="s">
        <v>17</v>
      </c>
      <c r="F200" s="86">
        <v>9</v>
      </c>
      <c r="G200" s="152">
        <v>106</v>
      </c>
      <c r="H200" s="153">
        <f t="shared" si="46"/>
        <v>9.4686125004343911</v>
      </c>
      <c r="I200" s="153">
        <f t="shared" si="57"/>
        <v>10.334473961803646</v>
      </c>
      <c r="J200" s="104">
        <f t="shared" si="47"/>
        <v>1095.4542399511865</v>
      </c>
      <c r="K200" s="154">
        <f t="shared" si="60"/>
        <v>1003.6729250460454</v>
      </c>
      <c r="L200" s="155">
        <f t="shared" si="59"/>
        <v>91.78131490514113</v>
      </c>
      <c r="M200" s="104">
        <f t="shared" si="48"/>
        <v>6.5716766597976815</v>
      </c>
      <c r="N200" s="156">
        <f t="shared" si="49"/>
        <v>98.352991564938804</v>
      </c>
      <c r="O200" s="104">
        <v>0</v>
      </c>
      <c r="P200" s="104">
        <v>0</v>
      </c>
      <c r="Q200" s="104">
        <v>0</v>
      </c>
      <c r="R200" s="156">
        <f t="shared" si="50"/>
        <v>98.352991564938804</v>
      </c>
    </row>
    <row r="201" spans="1:18" x14ac:dyDescent="0.2">
      <c r="A201" s="86">
        <v>2</v>
      </c>
      <c r="B201" s="150">
        <f t="shared" si="45"/>
        <v>45689</v>
      </c>
      <c r="C201" s="166">
        <f t="shared" si="58"/>
        <v>45721</v>
      </c>
      <c r="D201" s="166">
        <f t="shared" si="58"/>
        <v>45740</v>
      </c>
      <c r="E201" s="157" t="s">
        <v>17</v>
      </c>
      <c r="F201" s="86">
        <v>9</v>
      </c>
      <c r="G201" s="152">
        <v>102</v>
      </c>
      <c r="H201" s="153">
        <f t="shared" si="46"/>
        <v>9.4686125004343911</v>
      </c>
      <c r="I201" s="153">
        <f t="shared" si="57"/>
        <v>10.334473961803646</v>
      </c>
      <c r="J201" s="104">
        <f t="shared" si="47"/>
        <v>1054.1163441039719</v>
      </c>
      <c r="K201" s="154">
        <f t="shared" si="60"/>
        <v>965.79847504430791</v>
      </c>
      <c r="L201" s="155">
        <f t="shared" si="59"/>
        <v>88.317869059663963</v>
      </c>
      <c r="M201" s="104">
        <f t="shared" si="48"/>
        <v>6.3236888613147499</v>
      </c>
      <c r="N201" s="156">
        <f t="shared" si="49"/>
        <v>94.641557920978713</v>
      </c>
      <c r="O201" s="104">
        <v>0</v>
      </c>
      <c r="P201" s="104">
        <v>0</v>
      </c>
      <c r="Q201" s="104">
        <v>0</v>
      </c>
      <c r="R201" s="156">
        <f t="shared" si="50"/>
        <v>94.641557920978713</v>
      </c>
    </row>
    <row r="202" spans="1:18" x14ac:dyDescent="0.2">
      <c r="A202" s="86">
        <v>3</v>
      </c>
      <c r="B202" s="150">
        <f t="shared" si="45"/>
        <v>45717</v>
      </c>
      <c r="C202" s="166">
        <f t="shared" si="58"/>
        <v>45750</v>
      </c>
      <c r="D202" s="166">
        <f t="shared" si="58"/>
        <v>45771</v>
      </c>
      <c r="E202" s="157" t="s">
        <v>17</v>
      </c>
      <c r="F202" s="86">
        <v>9</v>
      </c>
      <c r="G202" s="152">
        <v>100</v>
      </c>
      <c r="H202" s="153">
        <f t="shared" si="46"/>
        <v>9.4686125004343911</v>
      </c>
      <c r="I202" s="153">
        <f t="shared" si="57"/>
        <v>10.334473961803646</v>
      </c>
      <c r="J202" s="104">
        <f t="shared" si="47"/>
        <v>1033.4473961803646</v>
      </c>
      <c r="K202" s="154">
        <f t="shared" si="60"/>
        <v>946.8612500434391</v>
      </c>
      <c r="L202" s="155">
        <f>+J202-K202</f>
        <v>86.586146136925549</v>
      </c>
      <c r="M202" s="104">
        <f t="shared" si="48"/>
        <v>6.1996949620732842</v>
      </c>
      <c r="N202" s="156">
        <f t="shared" si="49"/>
        <v>92.78584109899883</v>
      </c>
      <c r="O202" s="104">
        <v>0</v>
      </c>
      <c r="P202" s="104">
        <v>0</v>
      </c>
      <c r="Q202" s="104">
        <v>0</v>
      </c>
      <c r="R202" s="156">
        <f t="shared" si="50"/>
        <v>92.78584109899883</v>
      </c>
    </row>
    <row r="203" spans="1:18" x14ac:dyDescent="0.2">
      <c r="A203" s="86">
        <v>4</v>
      </c>
      <c r="B203" s="150">
        <f t="shared" si="45"/>
        <v>45748</v>
      </c>
      <c r="C203" s="166">
        <f t="shared" si="58"/>
        <v>45782</v>
      </c>
      <c r="D203" s="166">
        <f t="shared" si="58"/>
        <v>45803</v>
      </c>
      <c r="E203" s="157" t="s">
        <v>17</v>
      </c>
      <c r="F203" s="86">
        <v>9</v>
      </c>
      <c r="G203" s="152">
        <v>60</v>
      </c>
      <c r="H203" s="153">
        <f t="shared" si="46"/>
        <v>9.4686125004343911</v>
      </c>
      <c r="I203" s="153">
        <f t="shared" si="57"/>
        <v>10.334473961803646</v>
      </c>
      <c r="J203" s="104">
        <f t="shared" si="47"/>
        <v>620.06843770821877</v>
      </c>
      <c r="K203" s="154">
        <f t="shared" si="60"/>
        <v>568.11675002606341</v>
      </c>
      <c r="L203" s="155">
        <f t="shared" ref="L203:L211" si="61">+J203-K203</f>
        <v>51.951687682155352</v>
      </c>
      <c r="M203" s="104">
        <f t="shared" si="48"/>
        <v>3.7198169772439704</v>
      </c>
      <c r="N203" s="156">
        <f t="shared" si="49"/>
        <v>55.671504659399325</v>
      </c>
      <c r="O203" s="104">
        <v>0</v>
      </c>
      <c r="P203" s="104">
        <v>0</v>
      </c>
      <c r="Q203" s="104">
        <v>0</v>
      </c>
      <c r="R203" s="156">
        <f t="shared" si="50"/>
        <v>55.671504659399325</v>
      </c>
    </row>
    <row r="204" spans="1:18" x14ac:dyDescent="0.2">
      <c r="A204" s="86">
        <v>5</v>
      </c>
      <c r="B204" s="150">
        <f t="shared" si="45"/>
        <v>45778</v>
      </c>
      <c r="C204" s="166">
        <f t="shared" si="58"/>
        <v>45812</v>
      </c>
      <c r="D204" s="166">
        <f t="shared" si="58"/>
        <v>45832</v>
      </c>
      <c r="E204" s="1" t="s">
        <v>17</v>
      </c>
      <c r="F204" s="86">
        <v>9</v>
      </c>
      <c r="G204" s="152">
        <v>96</v>
      </c>
      <c r="H204" s="153">
        <f t="shared" si="46"/>
        <v>9.4686125004343911</v>
      </c>
      <c r="I204" s="153">
        <f t="shared" si="57"/>
        <v>10.334473961803646</v>
      </c>
      <c r="J204" s="104">
        <f t="shared" si="47"/>
        <v>992.10950033314998</v>
      </c>
      <c r="K204" s="154">
        <f t="shared" si="60"/>
        <v>908.9868000417016</v>
      </c>
      <c r="L204" s="155">
        <f t="shared" si="61"/>
        <v>83.122700291448382</v>
      </c>
      <c r="M204" s="104">
        <f t="shared" si="48"/>
        <v>5.9517071635903536</v>
      </c>
      <c r="N204" s="156">
        <f t="shared" si="49"/>
        <v>89.074407455038738</v>
      </c>
      <c r="O204" s="104">
        <v>0</v>
      </c>
      <c r="P204" s="104">
        <v>0</v>
      </c>
      <c r="Q204" s="104">
        <v>0</v>
      </c>
      <c r="R204" s="156">
        <f t="shared" si="50"/>
        <v>89.074407455038738</v>
      </c>
    </row>
    <row r="205" spans="1:18" x14ac:dyDescent="0.2">
      <c r="A205" s="86">
        <v>6</v>
      </c>
      <c r="B205" s="150">
        <f t="shared" si="45"/>
        <v>45809</v>
      </c>
      <c r="C205" s="166">
        <f t="shared" si="58"/>
        <v>45841</v>
      </c>
      <c r="D205" s="166">
        <f t="shared" si="58"/>
        <v>45862</v>
      </c>
      <c r="E205" s="1" t="s">
        <v>17</v>
      </c>
      <c r="F205" s="86">
        <v>9</v>
      </c>
      <c r="G205" s="152">
        <v>119</v>
      </c>
      <c r="H205" s="153">
        <f t="shared" si="46"/>
        <v>9.4686125004343911</v>
      </c>
      <c r="I205" s="153">
        <f t="shared" si="57"/>
        <v>10.334473961803646</v>
      </c>
      <c r="J205" s="104">
        <f t="shared" si="47"/>
        <v>1229.8024014546338</v>
      </c>
      <c r="K205" s="154">
        <f t="shared" si="60"/>
        <v>1126.7648875516925</v>
      </c>
      <c r="L205" s="155">
        <f t="shared" si="61"/>
        <v>103.03751390294133</v>
      </c>
      <c r="M205" s="104">
        <f t="shared" si="48"/>
        <v>7.377637004867208</v>
      </c>
      <c r="N205" s="156">
        <f t="shared" si="49"/>
        <v>110.41515090780854</v>
      </c>
      <c r="O205" s="104">
        <v>0</v>
      </c>
      <c r="P205" s="104">
        <v>0</v>
      </c>
      <c r="Q205" s="104">
        <v>0</v>
      </c>
      <c r="R205" s="156">
        <f t="shared" si="50"/>
        <v>110.41515090780854</v>
      </c>
    </row>
    <row r="206" spans="1:18" x14ac:dyDescent="0.2">
      <c r="A206" s="86">
        <v>7</v>
      </c>
      <c r="B206" s="150">
        <f t="shared" si="45"/>
        <v>45839</v>
      </c>
      <c r="C206" s="166">
        <f t="shared" si="58"/>
        <v>45874</v>
      </c>
      <c r="D206" s="166">
        <f t="shared" si="58"/>
        <v>45894</v>
      </c>
      <c r="E206" s="1" t="s">
        <v>17</v>
      </c>
      <c r="F206" s="86">
        <v>9</v>
      </c>
      <c r="G206" s="152">
        <v>118</v>
      </c>
      <c r="H206" s="153">
        <f t="shared" si="46"/>
        <v>9.4686125004343911</v>
      </c>
      <c r="I206" s="153">
        <f t="shared" si="57"/>
        <v>10.334473961803646</v>
      </c>
      <c r="J206" s="104">
        <f t="shared" si="47"/>
        <v>1219.4679274928301</v>
      </c>
      <c r="K206" s="154">
        <f t="shared" si="60"/>
        <v>1117.2962750512581</v>
      </c>
      <c r="L206" s="155">
        <f t="shared" si="61"/>
        <v>102.17165244157195</v>
      </c>
      <c r="M206" s="104">
        <f t="shared" si="48"/>
        <v>7.315640055246476</v>
      </c>
      <c r="N206" s="156">
        <f t="shared" si="49"/>
        <v>109.48729249681843</v>
      </c>
      <c r="O206" s="104">
        <v>0</v>
      </c>
      <c r="P206" s="104">
        <v>0</v>
      </c>
      <c r="Q206" s="104">
        <v>0</v>
      </c>
      <c r="R206" s="156">
        <f t="shared" si="50"/>
        <v>109.48729249681843</v>
      </c>
    </row>
    <row r="207" spans="1:18" x14ac:dyDescent="0.2">
      <c r="A207" s="86">
        <v>8</v>
      </c>
      <c r="B207" s="150">
        <f t="shared" si="45"/>
        <v>45870</v>
      </c>
      <c r="C207" s="166">
        <f t="shared" si="58"/>
        <v>45904</v>
      </c>
      <c r="D207" s="166">
        <f t="shared" si="58"/>
        <v>45924</v>
      </c>
      <c r="E207" s="1" t="s">
        <v>17</v>
      </c>
      <c r="F207" s="86">
        <v>9</v>
      </c>
      <c r="G207" s="152">
        <v>119</v>
      </c>
      <c r="H207" s="153">
        <f t="shared" si="46"/>
        <v>9.4686125004343911</v>
      </c>
      <c r="I207" s="153">
        <f t="shared" si="57"/>
        <v>10.334473961803646</v>
      </c>
      <c r="J207" s="104">
        <f t="shared" si="47"/>
        <v>1229.8024014546338</v>
      </c>
      <c r="K207" s="154">
        <f t="shared" si="60"/>
        <v>1126.7648875516925</v>
      </c>
      <c r="L207" s="155">
        <f t="shared" si="61"/>
        <v>103.03751390294133</v>
      </c>
      <c r="M207" s="104">
        <f t="shared" si="48"/>
        <v>7.377637004867208</v>
      </c>
      <c r="N207" s="156">
        <f t="shared" si="49"/>
        <v>110.41515090780854</v>
      </c>
      <c r="O207" s="104">
        <v>0</v>
      </c>
      <c r="P207" s="104">
        <v>0</v>
      </c>
      <c r="Q207" s="104">
        <v>0</v>
      </c>
      <c r="R207" s="156">
        <f t="shared" si="50"/>
        <v>110.41515090780854</v>
      </c>
    </row>
    <row r="208" spans="1:18" x14ac:dyDescent="0.2">
      <c r="A208" s="86">
        <v>9</v>
      </c>
      <c r="B208" s="150">
        <f t="shared" si="45"/>
        <v>45901</v>
      </c>
      <c r="C208" s="166">
        <f t="shared" si="58"/>
        <v>45933</v>
      </c>
      <c r="D208" s="166">
        <f t="shared" si="58"/>
        <v>45954</v>
      </c>
      <c r="E208" s="1" t="s">
        <v>17</v>
      </c>
      <c r="F208" s="86">
        <v>9</v>
      </c>
      <c r="G208" s="152">
        <v>101</v>
      </c>
      <c r="H208" s="153">
        <f t="shared" si="46"/>
        <v>9.4686125004343911</v>
      </c>
      <c r="I208" s="153">
        <f t="shared" si="57"/>
        <v>10.334473961803646</v>
      </c>
      <c r="J208" s="104">
        <f t="shared" si="47"/>
        <v>1043.7818701421681</v>
      </c>
      <c r="K208" s="154">
        <f t="shared" si="60"/>
        <v>956.32986254387345</v>
      </c>
      <c r="L208" s="155">
        <f t="shared" si="61"/>
        <v>87.452007598294699</v>
      </c>
      <c r="M208" s="104">
        <f t="shared" si="48"/>
        <v>6.2616919116940171</v>
      </c>
      <c r="N208" s="156">
        <f t="shared" si="49"/>
        <v>93.713699509988714</v>
      </c>
      <c r="O208" s="104">
        <v>0</v>
      </c>
      <c r="P208" s="104">
        <v>0</v>
      </c>
      <c r="Q208" s="104">
        <v>0</v>
      </c>
      <c r="R208" s="156">
        <f t="shared" si="50"/>
        <v>93.713699509988714</v>
      </c>
    </row>
    <row r="209" spans="1:18" x14ac:dyDescent="0.2">
      <c r="A209" s="86">
        <v>10</v>
      </c>
      <c r="B209" s="150">
        <f t="shared" si="45"/>
        <v>45931</v>
      </c>
      <c r="C209" s="166">
        <f t="shared" si="58"/>
        <v>45966</v>
      </c>
      <c r="D209" s="166">
        <f t="shared" si="58"/>
        <v>45985</v>
      </c>
      <c r="E209" s="1" t="s">
        <v>17</v>
      </c>
      <c r="F209" s="86">
        <v>9</v>
      </c>
      <c r="G209" s="152">
        <v>106</v>
      </c>
      <c r="H209" s="153">
        <f t="shared" si="46"/>
        <v>9.4686125004343911</v>
      </c>
      <c r="I209" s="153">
        <f t="shared" si="57"/>
        <v>10.334473961803646</v>
      </c>
      <c r="J209" s="104">
        <f t="shared" si="47"/>
        <v>1095.4542399511865</v>
      </c>
      <c r="K209" s="154">
        <f t="shared" si="60"/>
        <v>1003.6729250460454</v>
      </c>
      <c r="L209" s="155">
        <f t="shared" si="61"/>
        <v>91.78131490514113</v>
      </c>
      <c r="M209" s="104">
        <f t="shared" si="48"/>
        <v>6.5716766597976815</v>
      </c>
      <c r="N209" s="156">
        <f t="shared" si="49"/>
        <v>98.352991564938804</v>
      </c>
      <c r="O209" s="104">
        <v>0</v>
      </c>
      <c r="P209" s="104">
        <v>0</v>
      </c>
      <c r="Q209" s="104">
        <v>0</v>
      </c>
      <c r="R209" s="156">
        <f t="shared" si="50"/>
        <v>98.352991564938804</v>
      </c>
    </row>
    <row r="210" spans="1:18" x14ac:dyDescent="0.2">
      <c r="A210" s="86">
        <v>11</v>
      </c>
      <c r="B210" s="150">
        <f t="shared" si="45"/>
        <v>45962</v>
      </c>
      <c r="C210" s="166">
        <f t="shared" si="58"/>
        <v>45994</v>
      </c>
      <c r="D210" s="166">
        <f t="shared" si="58"/>
        <v>46015</v>
      </c>
      <c r="E210" s="1" t="s">
        <v>17</v>
      </c>
      <c r="F210" s="86">
        <v>9</v>
      </c>
      <c r="G210" s="152">
        <v>35</v>
      </c>
      <c r="H210" s="153">
        <f t="shared" si="46"/>
        <v>9.4686125004343911</v>
      </c>
      <c r="I210" s="153">
        <f t="shared" si="57"/>
        <v>10.334473961803646</v>
      </c>
      <c r="J210" s="104">
        <f t="shared" si="47"/>
        <v>361.7065886631276</v>
      </c>
      <c r="K210" s="154">
        <f>+$G210*H210</f>
        <v>331.40143751520367</v>
      </c>
      <c r="L210" s="155">
        <f t="shared" si="61"/>
        <v>30.305151147923937</v>
      </c>
      <c r="M210" s="104">
        <f t="shared" si="48"/>
        <v>2.1698932367256494</v>
      </c>
      <c r="N210" s="156">
        <f t="shared" si="49"/>
        <v>32.475044384649586</v>
      </c>
      <c r="O210" s="104">
        <v>0</v>
      </c>
      <c r="P210" s="104">
        <v>0</v>
      </c>
      <c r="Q210" s="104">
        <v>0</v>
      </c>
      <c r="R210" s="156">
        <f t="shared" si="50"/>
        <v>32.475044384649586</v>
      </c>
    </row>
    <row r="211" spans="1:18" s="170" customFormat="1" x14ac:dyDescent="0.2">
      <c r="A211" s="86">
        <v>12</v>
      </c>
      <c r="B211" s="168">
        <f t="shared" si="45"/>
        <v>45992</v>
      </c>
      <c r="C211" s="171">
        <f t="shared" si="58"/>
        <v>46028</v>
      </c>
      <c r="D211" s="171">
        <f t="shared" si="58"/>
        <v>46048</v>
      </c>
      <c r="E211" s="169" t="s">
        <v>17</v>
      </c>
      <c r="F211" s="127">
        <v>9</v>
      </c>
      <c r="G211" s="190">
        <v>103</v>
      </c>
      <c r="H211" s="158">
        <f t="shared" si="46"/>
        <v>9.4686125004343911</v>
      </c>
      <c r="I211" s="158">
        <f t="shared" si="57"/>
        <v>10.334473961803646</v>
      </c>
      <c r="J211" s="159">
        <f t="shared" si="47"/>
        <v>1064.4508180657756</v>
      </c>
      <c r="K211" s="160">
        <f>+$G211*H211</f>
        <v>975.26708754474225</v>
      </c>
      <c r="L211" s="161">
        <f t="shared" si="61"/>
        <v>89.18373052103334</v>
      </c>
      <c r="M211" s="159">
        <f t="shared" si="48"/>
        <v>6.3856858109354828</v>
      </c>
      <c r="N211" s="191">
        <f t="shared" si="49"/>
        <v>95.569416331968824</v>
      </c>
      <c r="O211" s="159">
        <v>0</v>
      </c>
      <c r="P211" s="159">
        <v>0</v>
      </c>
      <c r="Q211" s="159">
        <v>0</v>
      </c>
      <c r="R211" s="191">
        <f t="shared" si="50"/>
        <v>95.569416331968824</v>
      </c>
    </row>
    <row r="212" spans="1:18" x14ac:dyDescent="0.2">
      <c r="G212" s="176">
        <f>SUM(G20:G211)</f>
        <v>105873</v>
      </c>
      <c r="H212" s="45"/>
      <c r="J212" s="45">
        <f>SUM(J20:J211)</f>
        <v>1094141.7617580369</v>
      </c>
      <c r="K212" s="45">
        <f>SUM(K20:K211)</f>
        <v>1002470.4112584892</v>
      </c>
      <c r="L212" s="45">
        <f>SUM(L20:L211)</f>
        <v>91671.350499547072</v>
      </c>
      <c r="M212" s="45">
        <f>SUM(M20:M211)</f>
        <v>6563.8030471958446</v>
      </c>
      <c r="N212" s="45"/>
      <c r="O212" s="45"/>
      <c r="P212" s="45">
        <f>SUM(P20:P211)</f>
        <v>0</v>
      </c>
      <c r="Q212" s="45"/>
      <c r="R212" s="177">
        <f>SUM(R20:R211)</f>
        <v>98235.153546742935</v>
      </c>
    </row>
    <row r="213" spans="1:18" x14ac:dyDescent="0.2">
      <c r="P213" s="45"/>
      <c r="Q213" s="45"/>
    </row>
    <row r="220" spans="1:18" x14ac:dyDescent="0.2">
      <c r="D220"/>
      <c r="F220"/>
      <c r="G220"/>
      <c r="H220"/>
      <c r="I220"/>
      <c r="J220"/>
      <c r="K220"/>
      <c r="L220"/>
      <c r="M220"/>
      <c r="N220"/>
      <c r="O220"/>
      <c r="P220"/>
      <c r="Q220"/>
    </row>
  </sheetData>
  <mergeCells count="4">
    <mergeCell ref="G2:H2"/>
    <mergeCell ref="G3:H3"/>
    <mergeCell ref="G7:H7"/>
    <mergeCell ref="G8:H8"/>
  </mergeCells>
  <phoneticPr fontId="0" type="noConversion"/>
  <pageMargins left="0.5" right="0.5" top="1.05" bottom="1" header="0.31" footer="0.5"/>
  <pageSetup scale="46" fitToHeight="0" orientation="landscape" cellComments="asDisplayed" r:id="rId1"/>
  <headerFooter alignWithMargins="0">
    <oddHeader>&amp;R&amp;F  &amp;A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Tc3MDQwPC9Vc2VyTmFtZT48RGF0ZVRpbWU+NC80LzIwMjIgMzoxMToxMiBQTTwvRGF0ZVRpbWU+PExhYmVsU3RyaW5nPkFFUCBJbnRlcm5hbDwvTGFiZWxTdHJpbmc+PC9pdGVtPjxpdGVtPjxzaXNsIHNpc2xWZXJzaW9uPSIwIiBwb2xpY3k9ImU5YzBiOGQ3LWJkYjQtNGZkMy1iNjJhLWY1MDMyN2FhZWZjZSIgb3JpZ2luPSJ1c2VyU2VsZWN0ZWQiPjxlbGVtZW50IHVpZD0iNTBjMzE4MjQtMDc4MC00OTEwLTg3ZDEtZWFhZmZkMTgyZDQyIiB2YWx1ZT0iIiB4bWxucz0iaHR0cDovL3d3dy5ib2xkb25qYW1lcy5jb20vMjAwOC8wMS9zaWUvaW50ZXJuYWwvbGFiZWwiIC8+PC9zaXNsPjxVc2VyTmFtZT5DT1JQXHMxNzcwNDA8L1VzZXJOYW1lPjxEYXRlVGltZT41LzIzLzIwMjIgNTozNDo1NyBQTTwvRGF0ZVRpbWU+PExhYmVsU3RyaW5nPkFFUCBJbnRlcm5hbDwvTGFiZWxTdHJpbmc+PC9pdGVtPjwvbGFiZWxIaXN0b3J5Pg==</Value>
</WrappedLabelHistory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9C77599AAFD4B8FFD850D55630F3C" ma:contentTypeVersion="11" ma:contentTypeDescription="Create a new document." ma:contentTypeScope="" ma:versionID="ad751a9f435e1866f9f8a73a34278f13">
  <xsd:schema xmlns:xsd="http://www.w3.org/2001/XMLSchema" xmlns:xs="http://www.w3.org/2001/XMLSchema" xmlns:p="http://schemas.microsoft.com/office/2006/metadata/properties" xmlns:ns2="6a06342d-ce85-4729-8251-347f0ba4f840" xmlns:ns3="b6888f76-1100-40b0-929b-1efe9044426d" targetNamespace="http://schemas.microsoft.com/office/2006/metadata/properties" ma:root="true" ma:fieldsID="e425485e64401a05f4c6dac9240526dc" ns2:_="" ns3:_="">
    <xsd:import namespace="6a06342d-ce85-4729-8251-347f0ba4f840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06342d-ce85-4729-8251-347f0ba4f8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06342d-ce85-4729-8251-347f0ba4f840">
      <Terms xmlns="http://schemas.microsoft.com/office/infopath/2007/PartnerControls"/>
    </lcf76f155ced4ddcb4097134ff3c332f>
    <TaxCatchAll xmlns="b6888f76-1100-40b0-929b-1efe9044426d" xsi:nil="true"/>
  </documentManagement>
</p:properti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67814C9F-6145-417D-BF91-17C37C065136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2399BFC3-927E-4308-953B-F44636811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06342d-ce85-4729-8251-347f0ba4f840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460CA7-65A0-4185-B138-B0D9A88C0BA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EBC3E1-0FEF-4AE9-93E9-51018C23989D}">
  <ds:schemaRefs>
    <ds:schemaRef ds:uri="http://schemas.microsoft.com/office/2006/metadata/properties"/>
    <ds:schemaRef ds:uri="http://schemas.microsoft.com/office/infopath/2007/PartnerControls"/>
    <ds:schemaRef ds:uri="6a06342d-ce85-4729-8251-347f0ba4f840"/>
    <ds:schemaRef ds:uri="b6888f76-1100-40b0-929b-1efe9044426d"/>
  </ds:schemaRefs>
</ds:datastoreItem>
</file>

<file path=customXml/itemProps5.xml><?xml version="1.0" encoding="utf-8"?>
<ds:datastoreItem xmlns:ds="http://schemas.openxmlformats.org/officeDocument/2006/customXml" ds:itemID="{2418BD46-ACD0-4167-A332-8533C8691E4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Instructions</vt:lpstr>
      <vt:lpstr>Summary</vt:lpstr>
      <vt:lpstr>Pivot</vt:lpstr>
      <vt:lpstr>Transactions</vt:lpstr>
      <vt:lpstr>Transactions!AS1_1999</vt:lpstr>
      <vt:lpstr>Instructions!Print_Area</vt:lpstr>
      <vt:lpstr>Summary!Print_Area</vt:lpstr>
      <vt:lpstr>Transactions!Print_Area</vt:lpstr>
      <vt:lpstr>Pivot!Print_Titles</vt:lpstr>
      <vt:lpstr>Transactions!Print_Titles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Williamson</dc:creator>
  <cp:keywords/>
  <cp:lastModifiedBy>Allyson L Keaton</cp:lastModifiedBy>
  <cp:lastPrinted>2023-05-24T20:02:35Z</cp:lastPrinted>
  <dcterms:created xsi:type="dcterms:W3CDTF">2009-09-04T18:19:13Z</dcterms:created>
  <dcterms:modified xsi:type="dcterms:W3CDTF">2026-05-21T20:58:06Z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01ffe4e3-56ac-407c-bc33-cee9bb915f64</vt:lpwstr>
  </property>
  <property fmtid="{D5CDD505-2E9C-101B-9397-08002B2CF9AE}" pid="3" name="bjSaver">
    <vt:lpwstr>clRxCTTKA7z930TtRLwKph96GxWYXtbn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bjClsUserRVM">
    <vt:lpwstr>[]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LabelHistoryID">
    <vt:lpwstr>{67814C9F-6145-417D-BF91-17C37C065136}</vt:lpwstr>
  </property>
  <property fmtid="{D5CDD505-2E9C-101B-9397-08002B2CF9AE}" pid="11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2" name="bjDocumentLabelXML-0">
    <vt:lpwstr>ames.com/2008/01/sie/internal/label"&gt;&lt;element uid="50c31824-0780-4910-87d1-eaaffd182d42" value="" /&gt;&lt;/sisl&gt;</vt:lpwstr>
  </property>
  <property fmtid="{D5CDD505-2E9C-101B-9397-08002B2CF9AE}" pid="13" name="ContentTypeId">
    <vt:lpwstr>0x0101002649C77599AAFD4B8FFD850D55630F3C</vt:lpwstr>
  </property>
  <property fmtid="{D5CDD505-2E9C-101B-9397-08002B2CF9AE}" pid="14" name="MediaServiceImageTags">
    <vt:lpwstr/>
  </property>
  <property fmtid="{D5CDD505-2E9C-101B-9397-08002B2CF9AE}" pid="15" name="bjpmDocIH">
    <vt:lpwstr>tMee0lY+QQaNhjKQa7tM5H9HydNafo19</vt:lpwstr>
  </property>
</Properties>
</file>